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foeca.sharepoint.com/sites/CfOE2/Shared Documents/CfOE-Team/CfOE Webinars Series/Webinars/2021-2022/Session 8 - Financial Accountability/"/>
    </mc:Choice>
  </mc:AlternateContent>
  <xr:revisionPtr revIDLastSave="665" documentId="8_{11209038-41DC-4FAE-B524-5CECDC1834E6}" xr6:coauthVersionLast="47" xr6:coauthVersionMax="47" xr10:uidLastSave="{F594DA03-E488-4C68-AD1F-4495AC6FDEC9}"/>
  <bookViews>
    <workbookView xWindow="-108" yWindow="-108" windowWidth="23256" windowHeight="12576" tabRatio="898" firstSheet="13" activeTab="15" xr2:uid="{00000000-000D-0000-FFFF-FFFF00000000}"/>
  </bookViews>
  <sheets>
    <sheet name="Base Financials - Oxford" sheetId="19" state="hidden" r:id="rId1"/>
    <sheet name="20 21 Revenue - Middlesex" sheetId="31" state="hidden" r:id="rId2"/>
    <sheet name="20 21 Revenue - Middlesex (2)" sheetId="32" state="hidden" r:id="rId3"/>
    <sheet name="CMHA-M 20-21 Bud" sheetId="29" state="hidden" r:id="rId4"/>
    <sheet name="CHO analysis" sheetId="34" state="hidden" r:id="rId5"/>
    <sheet name="Detailed Support - Middlesex" sheetId="6" state="hidden" r:id="rId6"/>
    <sheet name="Base Financials - Middlesex" sheetId="22" state="hidden" r:id="rId7"/>
    <sheet name="Detailed Support - ADSTV" sheetId="8" state="hidden" r:id="rId8"/>
    <sheet name="Base Financials - ADSTV (2)" sheetId="18" state="hidden" r:id="rId9"/>
    <sheet name="Base Financials - ADSTV" sheetId="9" state="hidden" r:id="rId10"/>
    <sheet name="Detailed Support - Consol" sheetId="10" state="hidden" r:id="rId11"/>
    <sheet name="Base Financials - Consol" sheetId="11" state="hidden" r:id="rId12"/>
    <sheet name="Base Financials - Total" sheetId="23" state="hidden" r:id="rId13"/>
    <sheet name="Assumptions" sheetId="37" r:id="rId14"/>
    <sheet name="Project Budget" sheetId="44" r:id="rId15"/>
    <sheet name="Example " sheetId="45" r:id="rId16"/>
    <sheet name="Detailed Financials Option 2" sheetId="36" state="hidden" r:id="rId17"/>
    <sheet name="Presentation format" sheetId="27" state="hidden" r:id="rId18"/>
    <sheet name="Admin costs Summary" sheetId="33" state="hidden" r:id="rId19"/>
    <sheet name="Presentation format Analysis" sheetId="28" state="hidden" r:id="rId20"/>
    <sheet name="Review Notes" sheetId="17" state="hidden" r:id="rId21"/>
  </sheets>
  <externalReferences>
    <externalReference r:id="rId22"/>
    <externalReference r:id="rId23"/>
    <externalReference r:id="rId24"/>
  </externalReferences>
  <definedNames>
    <definedName name="_xlnm._FilterDatabase" localSheetId="1" hidden="1">'20 21 Revenue - Middlesex'!$A$129:$N$168</definedName>
    <definedName name="_xlnm._FilterDatabase" localSheetId="2" hidden="1">'20 21 Revenue - Middlesex (2)'!$A$129:$N$168</definedName>
    <definedName name="_xlnm._FilterDatabase" localSheetId="4" hidden="1">'CHO analysis'!$A$4:$H$1079</definedName>
    <definedName name="_xlnm._FilterDatabase" localSheetId="3" hidden="1">'CMHA-M 20-21 Bud'!$A$10:$H$1089</definedName>
    <definedName name="_xlnm.Print_Area" localSheetId="18">'Admin costs Summary'!$A$2:$F$18</definedName>
    <definedName name="_xlnm.Print_Area" localSheetId="0">'Base Financials - Oxford'!$A$1:$M$79</definedName>
    <definedName name="_xlnm.Print_Area" localSheetId="7">'Detailed Support - ADSTV'!$A$5:$AC$95</definedName>
    <definedName name="_xlnm.Print_Area" localSheetId="10">'Detailed Support - Consol'!$A$5:$AC$94</definedName>
    <definedName name="_xlnm.Print_Area" localSheetId="5">'Detailed Support - Middlesex'!$A$5:$AC$103</definedName>
    <definedName name="_xlnm.Print_Area" localSheetId="20">'Review Notes'!$A$1:$I$9</definedName>
    <definedName name="_xlnm.Print_Titles" localSheetId="7">'Detailed Support - ADSTV'!$A:$A,'Detailed Support - ADSTV'!$5:$6</definedName>
    <definedName name="_xlnm.Print_Titles" localSheetId="10">'Detailed Support - Consol'!$A:$A,'Detailed Support - Consol'!$5:$6</definedName>
    <definedName name="_xlnm.Print_Titles" localSheetId="5">'Detailed Support - Middlesex'!$A:$A,'Detailed Support - Middlesex'!$5:$6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" i="45" l="1"/>
  <c r="C70" i="44"/>
  <c r="B27" i="45"/>
  <c r="B26" i="45"/>
  <c r="B25" i="45"/>
  <c r="B24" i="45"/>
  <c r="C23" i="45"/>
  <c r="C22" i="45"/>
  <c r="C28" i="45" s="1"/>
  <c r="B21" i="45"/>
  <c r="C62" i="45"/>
  <c r="B62" i="45"/>
  <c r="B35" i="45"/>
  <c r="B34" i="45"/>
  <c r="B33" i="45"/>
  <c r="B32" i="45"/>
  <c r="C31" i="45"/>
  <c r="B31" i="45"/>
  <c r="C27" i="45"/>
  <c r="C17" i="45"/>
  <c r="B5" i="45"/>
  <c r="B17" i="45" s="1"/>
  <c r="C5" i="44"/>
  <c r="C69" i="44"/>
  <c r="D27" i="44"/>
  <c r="C27" i="44"/>
  <c r="D22" i="44"/>
  <c r="D23" i="44"/>
  <c r="D24" i="44"/>
  <c r="D26" i="44"/>
  <c r="D21" i="44"/>
  <c r="C22" i="44"/>
  <c r="C23" i="44"/>
  <c r="C24" i="44"/>
  <c r="C26" i="44"/>
  <c r="C21" i="44"/>
  <c r="D35" i="44"/>
  <c r="D34" i="44"/>
  <c r="D33" i="44"/>
  <c r="D32" i="44"/>
  <c r="D31" i="44"/>
  <c r="C35" i="44"/>
  <c r="C34" i="44"/>
  <c r="C33" i="44"/>
  <c r="C32" i="44"/>
  <c r="C31" i="44"/>
  <c r="D62" i="44"/>
  <c r="D28" i="44"/>
  <c r="D17" i="44"/>
  <c r="C62" i="44"/>
  <c r="B28" i="45" l="1"/>
  <c r="C36" i="45"/>
  <c r="C64" i="45" s="1"/>
  <c r="C66" i="45" s="1"/>
  <c r="B36" i="45"/>
  <c r="B64" i="45" s="1"/>
  <c r="B69" i="45" s="1"/>
  <c r="C28" i="44"/>
  <c r="C36" i="44"/>
  <c r="D36" i="44"/>
  <c r="D64" i="44" s="1"/>
  <c r="D66" i="44" s="1"/>
  <c r="C17" i="44"/>
  <c r="P9" i="27"/>
  <c r="B66" i="45" l="1"/>
  <c r="C64" i="44"/>
  <c r="C66" i="44" s="1"/>
  <c r="H1079" i="34"/>
  <c r="H1078" i="34"/>
  <c r="H1077" i="34"/>
  <c r="H1076" i="34"/>
  <c r="H1075" i="34"/>
  <c r="H1074" i="34"/>
  <c r="H1073" i="34"/>
  <c r="H1072" i="34"/>
  <c r="H1071" i="34"/>
  <c r="H1070" i="34"/>
  <c r="H1069" i="34"/>
  <c r="H1068" i="34"/>
  <c r="H1067" i="34"/>
  <c r="H1066" i="34"/>
  <c r="H1065" i="34"/>
  <c r="H1064" i="34"/>
  <c r="H1063" i="34"/>
  <c r="H1062" i="34"/>
  <c r="H1061" i="34"/>
  <c r="H1060" i="34"/>
  <c r="H1059" i="34"/>
  <c r="H1058" i="34"/>
  <c r="H1057" i="34"/>
  <c r="H1056" i="34"/>
  <c r="H1055" i="34"/>
  <c r="H1054" i="34"/>
  <c r="H1053" i="34"/>
  <c r="H1052" i="34"/>
  <c r="H1051" i="34"/>
  <c r="H1050" i="34"/>
  <c r="H1049" i="34"/>
  <c r="H1048" i="34"/>
  <c r="H1047" i="34"/>
  <c r="H1046" i="34"/>
  <c r="H1045" i="34"/>
  <c r="H1044" i="34"/>
  <c r="H1043" i="34"/>
  <c r="H1042" i="34"/>
  <c r="H1041" i="34"/>
  <c r="H1040" i="34"/>
  <c r="H1039" i="34"/>
  <c r="H1038" i="34"/>
  <c r="H1037" i="34"/>
  <c r="H1036" i="34"/>
  <c r="H1035" i="34"/>
  <c r="H1034" i="34"/>
  <c r="H1033" i="34"/>
  <c r="H1032" i="34"/>
  <c r="H1031" i="34"/>
  <c r="H1030" i="34"/>
  <c r="H1029" i="34"/>
  <c r="H1028" i="34"/>
  <c r="H1027" i="34"/>
  <c r="H1026" i="34"/>
  <c r="H1025" i="34"/>
  <c r="H1024" i="34"/>
  <c r="H1023" i="34"/>
  <c r="H1022" i="34"/>
  <c r="H1021" i="34"/>
  <c r="H1020" i="34"/>
  <c r="H1019" i="34"/>
  <c r="H1018" i="34"/>
  <c r="H1017" i="34"/>
  <c r="H1016" i="34"/>
  <c r="H1015" i="34"/>
  <c r="H1014" i="34"/>
  <c r="H1013" i="34"/>
  <c r="H1012" i="34"/>
  <c r="H1011" i="34"/>
  <c r="H1010" i="34"/>
  <c r="H1009" i="34"/>
  <c r="H1008" i="34"/>
  <c r="H1007" i="34"/>
  <c r="H1006" i="34"/>
  <c r="H1005" i="34"/>
  <c r="H1004" i="34"/>
  <c r="H1003" i="34"/>
  <c r="H1002" i="34"/>
  <c r="H1001" i="34"/>
  <c r="H1000" i="34"/>
  <c r="H999" i="34"/>
  <c r="H998" i="34"/>
  <c r="H997" i="34"/>
  <c r="H996" i="34"/>
  <c r="H995" i="34"/>
  <c r="H994" i="34"/>
  <c r="H993" i="34"/>
  <c r="H992" i="34"/>
  <c r="H991" i="34"/>
  <c r="H990" i="34"/>
  <c r="H989" i="34"/>
  <c r="H988" i="34"/>
  <c r="H987" i="34"/>
  <c r="H986" i="34"/>
  <c r="H985" i="34"/>
  <c r="H984" i="34"/>
  <c r="H983" i="34"/>
  <c r="H982" i="34"/>
  <c r="H981" i="34"/>
  <c r="H980" i="34"/>
  <c r="H979" i="34"/>
  <c r="H978" i="34"/>
  <c r="H977" i="34"/>
  <c r="H976" i="34"/>
  <c r="H975" i="34"/>
  <c r="H974" i="34"/>
  <c r="H973" i="34"/>
  <c r="H972" i="34"/>
  <c r="H971" i="34"/>
  <c r="H970" i="34"/>
  <c r="H969" i="34"/>
  <c r="H968" i="34"/>
  <c r="H967" i="34"/>
  <c r="H966" i="34"/>
  <c r="H965" i="34"/>
  <c r="H964" i="34"/>
  <c r="H963" i="34"/>
  <c r="H962" i="34"/>
  <c r="H961" i="34"/>
  <c r="H960" i="34"/>
  <c r="H959" i="34"/>
  <c r="H958" i="34"/>
  <c r="H957" i="34"/>
  <c r="H956" i="34"/>
  <c r="H955" i="34"/>
  <c r="H954" i="34"/>
  <c r="H953" i="34"/>
  <c r="H952" i="34"/>
  <c r="H951" i="34"/>
  <c r="H950" i="34"/>
  <c r="H949" i="34"/>
  <c r="H948" i="34"/>
  <c r="H947" i="34"/>
  <c r="H946" i="34"/>
  <c r="H945" i="34"/>
  <c r="H944" i="34"/>
  <c r="H943" i="34"/>
  <c r="H942" i="34"/>
  <c r="H941" i="34"/>
  <c r="H940" i="34"/>
  <c r="H939" i="34"/>
  <c r="H938" i="34"/>
  <c r="H937" i="34"/>
  <c r="H936" i="34"/>
  <c r="H935" i="34"/>
  <c r="H934" i="34"/>
  <c r="H933" i="34"/>
  <c r="H932" i="34"/>
  <c r="H931" i="34"/>
  <c r="H930" i="34"/>
  <c r="H929" i="34"/>
  <c r="H928" i="34"/>
  <c r="H927" i="34"/>
  <c r="H926" i="34"/>
  <c r="H925" i="34"/>
  <c r="H924" i="34"/>
  <c r="H923" i="34"/>
  <c r="H922" i="34"/>
  <c r="H921" i="34"/>
  <c r="H920" i="34"/>
  <c r="H919" i="34"/>
  <c r="H918" i="34"/>
  <c r="H917" i="34"/>
  <c r="H916" i="34"/>
  <c r="H915" i="34"/>
  <c r="H914" i="34"/>
  <c r="H913" i="34"/>
  <c r="H912" i="34"/>
  <c r="H911" i="34"/>
  <c r="H910" i="34"/>
  <c r="H909" i="34"/>
  <c r="H908" i="34"/>
  <c r="H907" i="34"/>
  <c r="H906" i="34"/>
  <c r="H905" i="34"/>
  <c r="H904" i="34"/>
  <c r="H903" i="34"/>
  <c r="H902" i="34"/>
  <c r="H901" i="34"/>
  <c r="H900" i="34"/>
  <c r="H899" i="34"/>
  <c r="H898" i="34"/>
  <c r="H897" i="34"/>
  <c r="H896" i="34"/>
  <c r="H895" i="34"/>
  <c r="H894" i="34"/>
  <c r="H893" i="34"/>
  <c r="H892" i="34"/>
  <c r="H891" i="34"/>
  <c r="H890" i="34"/>
  <c r="H889" i="34"/>
  <c r="H888" i="34"/>
  <c r="H887" i="34"/>
  <c r="H886" i="34"/>
  <c r="H885" i="34"/>
  <c r="H884" i="34"/>
  <c r="H883" i="34"/>
  <c r="H882" i="34"/>
  <c r="H881" i="34"/>
  <c r="H880" i="34"/>
  <c r="H879" i="34"/>
  <c r="H878" i="34"/>
  <c r="H877" i="34"/>
  <c r="H876" i="34"/>
  <c r="H875" i="34"/>
  <c r="H874" i="34"/>
  <c r="H873" i="34"/>
  <c r="H872" i="34"/>
  <c r="H871" i="34"/>
  <c r="H870" i="34"/>
  <c r="H869" i="34"/>
  <c r="H868" i="34"/>
  <c r="H867" i="34"/>
  <c r="H866" i="34"/>
  <c r="H865" i="34"/>
  <c r="H864" i="34"/>
  <c r="H863" i="34"/>
  <c r="H862" i="34"/>
  <c r="H861" i="34"/>
  <c r="H860" i="34"/>
  <c r="H859" i="34"/>
  <c r="H858" i="34"/>
  <c r="H857" i="34"/>
  <c r="H856" i="34"/>
  <c r="H855" i="34"/>
  <c r="H854" i="34"/>
  <c r="H853" i="34"/>
  <c r="H852" i="34"/>
  <c r="H851" i="34"/>
  <c r="H850" i="34"/>
  <c r="H849" i="34"/>
  <c r="H848" i="34"/>
  <c r="H847" i="34"/>
  <c r="H846" i="34"/>
  <c r="H845" i="34"/>
  <c r="H844" i="34"/>
  <c r="H843" i="34"/>
  <c r="H842" i="34"/>
  <c r="H841" i="34"/>
  <c r="H840" i="34"/>
  <c r="H839" i="34"/>
  <c r="H838" i="34"/>
  <c r="H837" i="34"/>
  <c r="H836" i="34"/>
  <c r="H835" i="34"/>
  <c r="H834" i="34"/>
  <c r="H833" i="34"/>
  <c r="H832" i="34"/>
  <c r="H831" i="34"/>
  <c r="H830" i="34"/>
  <c r="H829" i="34"/>
  <c r="H828" i="34"/>
  <c r="H827" i="34"/>
  <c r="H826" i="34"/>
  <c r="H825" i="34"/>
  <c r="H824" i="34"/>
  <c r="H823" i="34"/>
  <c r="H822" i="34"/>
  <c r="H821" i="34"/>
  <c r="H820" i="34"/>
  <c r="H819" i="34"/>
  <c r="H818" i="34"/>
  <c r="H817" i="34"/>
  <c r="H816" i="34"/>
  <c r="H815" i="34"/>
  <c r="H814" i="34"/>
  <c r="H813" i="34"/>
  <c r="H812" i="34"/>
  <c r="H811" i="34"/>
  <c r="H810" i="34"/>
  <c r="H809" i="34"/>
  <c r="H808" i="34"/>
  <c r="H807" i="34"/>
  <c r="H806" i="34"/>
  <c r="H805" i="34"/>
  <c r="H804" i="34"/>
  <c r="H803" i="34"/>
  <c r="H802" i="34"/>
  <c r="H801" i="34"/>
  <c r="H800" i="34"/>
  <c r="H799" i="34"/>
  <c r="H798" i="34"/>
  <c r="H797" i="34"/>
  <c r="H796" i="34"/>
  <c r="H795" i="34"/>
  <c r="H794" i="34"/>
  <c r="H793" i="34"/>
  <c r="H792" i="34"/>
  <c r="H791" i="34"/>
  <c r="H790" i="34"/>
  <c r="H789" i="34"/>
  <c r="H788" i="34"/>
  <c r="H787" i="34"/>
  <c r="H786" i="34"/>
  <c r="H785" i="34"/>
  <c r="H784" i="34"/>
  <c r="H783" i="34"/>
  <c r="H782" i="34"/>
  <c r="H781" i="34"/>
  <c r="H780" i="34"/>
  <c r="H779" i="34"/>
  <c r="H778" i="34"/>
  <c r="H777" i="34"/>
  <c r="H776" i="34"/>
  <c r="H775" i="34"/>
  <c r="H774" i="34"/>
  <c r="H773" i="34"/>
  <c r="H772" i="34"/>
  <c r="H771" i="34"/>
  <c r="H770" i="34"/>
  <c r="H769" i="34"/>
  <c r="H768" i="34"/>
  <c r="H767" i="34"/>
  <c r="H766" i="34"/>
  <c r="H765" i="34"/>
  <c r="H764" i="34"/>
  <c r="H763" i="34"/>
  <c r="H762" i="34"/>
  <c r="H761" i="34"/>
  <c r="H760" i="34"/>
  <c r="H759" i="34"/>
  <c r="H758" i="34"/>
  <c r="H757" i="34"/>
  <c r="H756" i="34"/>
  <c r="H755" i="34"/>
  <c r="H754" i="34"/>
  <c r="H753" i="34"/>
  <c r="H752" i="34"/>
  <c r="H751" i="34"/>
  <c r="H750" i="34"/>
  <c r="H749" i="34"/>
  <c r="H748" i="34"/>
  <c r="H747" i="34"/>
  <c r="H746" i="34"/>
  <c r="H745" i="34"/>
  <c r="H744" i="34"/>
  <c r="H743" i="34"/>
  <c r="H742" i="34"/>
  <c r="H741" i="34"/>
  <c r="H740" i="34"/>
  <c r="H739" i="34"/>
  <c r="H738" i="34"/>
  <c r="H737" i="34"/>
  <c r="H736" i="34"/>
  <c r="H735" i="34"/>
  <c r="H734" i="34"/>
  <c r="H733" i="34"/>
  <c r="H732" i="34"/>
  <c r="H731" i="34"/>
  <c r="H730" i="34"/>
  <c r="H729" i="34"/>
  <c r="H728" i="34"/>
  <c r="H727" i="34"/>
  <c r="H726" i="34"/>
  <c r="H725" i="34"/>
  <c r="H724" i="34"/>
  <c r="H723" i="34"/>
  <c r="H722" i="34"/>
  <c r="H721" i="34"/>
  <c r="H720" i="34"/>
  <c r="H719" i="34"/>
  <c r="H718" i="34"/>
  <c r="H717" i="34"/>
  <c r="H716" i="34"/>
  <c r="H715" i="34"/>
  <c r="H714" i="34"/>
  <c r="H713" i="34"/>
  <c r="H712" i="34"/>
  <c r="H711" i="34"/>
  <c r="H710" i="34"/>
  <c r="H709" i="34"/>
  <c r="H708" i="34"/>
  <c r="H707" i="34"/>
  <c r="H706" i="34"/>
  <c r="H705" i="34"/>
  <c r="H704" i="34"/>
  <c r="H703" i="34"/>
  <c r="H702" i="34"/>
  <c r="H701" i="34"/>
  <c r="H700" i="34"/>
  <c r="H699" i="34"/>
  <c r="H698" i="34"/>
  <c r="H697" i="34"/>
  <c r="H696" i="34"/>
  <c r="H695" i="34"/>
  <c r="H694" i="34"/>
  <c r="H693" i="34"/>
  <c r="H692" i="34"/>
  <c r="H691" i="34"/>
  <c r="H690" i="34"/>
  <c r="H689" i="34"/>
  <c r="H688" i="34"/>
  <c r="H687" i="34"/>
  <c r="H686" i="34"/>
  <c r="H685" i="34"/>
  <c r="H684" i="34"/>
  <c r="H683" i="34"/>
  <c r="H682" i="34"/>
  <c r="H681" i="34"/>
  <c r="H680" i="34"/>
  <c r="H679" i="34"/>
  <c r="H678" i="34"/>
  <c r="H677" i="34"/>
  <c r="H676" i="34"/>
  <c r="H675" i="34"/>
  <c r="H674" i="34"/>
  <c r="H673" i="34"/>
  <c r="H672" i="34"/>
  <c r="H671" i="34"/>
  <c r="H670" i="34"/>
  <c r="H669" i="34"/>
  <c r="H668" i="34"/>
  <c r="H667" i="34"/>
  <c r="H666" i="34"/>
  <c r="H665" i="34"/>
  <c r="H664" i="34"/>
  <c r="H663" i="34"/>
  <c r="H662" i="34"/>
  <c r="H661" i="34"/>
  <c r="H660" i="34"/>
  <c r="H659" i="34"/>
  <c r="H658" i="34"/>
  <c r="H657" i="34"/>
  <c r="H656" i="34"/>
  <c r="H655" i="34"/>
  <c r="H654" i="34"/>
  <c r="H653" i="34"/>
  <c r="H652" i="34"/>
  <c r="H651" i="34"/>
  <c r="H650" i="34"/>
  <c r="H649" i="34"/>
  <c r="H648" i="34"/>
  <c r="H647" i="34"/>
  <c r="H646" i="34"/>
  <c r="H645" i="34"/>
  <c r="H644" i="34"/>
  <c r="H643" i="34"/>
  <c r="H642" i="34"/>
  <c r="H641" i="34"/>
  <c r="H640" i="34"/>
  <c r="H639" i="34"/>
  <c r="H638" i="34"/>
  <c r="H637" i="34"/>
  <c r="H636" i="34"/>
  <c r="H635" i="34"/>
  <c r="H634" i="34"/>
  <c r="H633" i="34"/>
  <c r="H632" i="34"/>
  <c r="H631" i="34"/>
  <c r="H630" i="34"/>
  <c r="H629" i="34"/>
  <c r="H628" i="34"/>
  <c r="H627" i="34"/>
  <c r="H626" i="34"/>
  <c r="H625" i="34"/>
  <c r="H624" i="34"/>
  <c r="H623" i="34"/>
  <c r="H622" i="34"/>
  <c r="H621" i="34"/>
  <c r="H620" i="34"/>
  <c r="H619" i="34"/>
  <c r="H618" i="34"/>
  <c r="H617" i="34"/>
  <c r="H616" i="34"/>
  <c r="H615" i="34"/>
  <c r="H614" i="34"/>
  <c r="H613" i="34"/>
  <c r="H612" i="34"/>
  <c r="H611" i="34"/>
  <c r="H610" i="34"/>
  <c r="H609" i="34"/>
  <c r="H608" i="34"/>
  <c r="H607" i="34"/>
  <c r="H606" i="34"/>
  <c r="H605" i="34"/>
  <c r="H604" i="34"/>
  <c r="H603" i="34"/>
  <c r="H602" i="34"/>
  <c r="H601" i="34"/>
  <c r="H600" i="34"/>
  <c r="H599" i="34"/>
  <c r="H598" i="34"/>
  <c r="H597" i="34"/>
  <c r="H596" i="34"/>
  <c r="H595" i="34"/>
  <c r="H594" i="34"/>
  <c r="H593" i="34"/>
  <c r="H592" i="34"/>
  <c r="H591" i="34"/>
  <c r="H590" i="34"/>
  <c r="H589" i="34"/>
  <c r="H588" i="34"/>
  <c r="H587" i="34"/>
  <c r="H586" i="34"/>
  <c r="H585" i="34"/>
  <c r="H584" i="34"/>
  <c r="H583" i="34"/>
  <c r="H582" i="34"/>
  <c r="H581" i="34"/>
  <c r="H580" i="34"/>
  <c r="H579" i="34"/>
  <c r="H578" i="34"/>
  <c r="H577" i="34"/>
  <c r="H576" i="34"/>
  <c r="H575" i="34"/>
  <c r="H574" i="34"/>
  <c r="H573" i="34"/>
  <c r="H572" i="34"/>
  <c r="H571" i="34"/>
  <c r="H570" i="34"/>
  <c r="H569" i="34"/>
  <c r="H568" i="34"/>
  <c r="H567" i="34"/>
  <c r="H566" i="34"/>
  <c r="H565" i="34"/>
  <c r="H564" i="34"/>
  <c r="H563" i="34"/>
  <c r="H562" i="34"/>
  <c r="H561" i="34"/>
  <c r="H560" i="34"/>
  <c r="H559" i="34"/>
  <c r="H558" i="34"/>
  <c r="H557" i="34"/>
  <c r="H556" i="34"/>
  <c r="H555" i="34"/>
  <c r="H554" i="34"/>
  <c r="H553" i="34"/>
  <c r="H552" i="34"/>
  <c r="H551" i="34"/>
  <c r="H550" i="34"/>
  <c r="H549" i="34"/>
  <c r="H548" i="34"/>
  <c r="H547" i="34"/>
  <c r="H546" i="34"/>
  <c r="H545" i="34"/>
  <c r="H544" i="34"/>
  <c r="H543" i="34"/>
  <c r="H542" i="34"/>
  <c r="H541" i="34"/>
  <c r="H540" i="34"/>
  <c r="H539" i="34"/>
  <c r="H538" i="34"/>
  <c r="H537" i="34"/>
  <c r="H536" i="34"/>
  <c r="H535" i="34"/>
  <c r="H534" i="34"/>
  <c r="H533" i="34"/>
  <c r="H532" i="34"/>
  <c r="H531" i="34"/>
  <c r="H530" i="34"/>
  <c r="H529" i="34"/>
  <c r="H528" i="34"/>
  <c r="H527" i="34"/>
  <c r="H526" i="34"/>
  <c r="H525" i="34"/>
  <c r="H524" i="34"/>
  <c r="H523" i="34"/>
  <c r="H522" i="34"/>
  <c r="H521" i="34"/>
  <c r="H520" i="34"/>
  <c r="H519" i="34"/>
  <c r="H518" i="34"/>
  <c r="H517" i="34"/>
  <c r="H516" i="34"/>
  <c r="H515" i="34"/>
  <c r="H514" i="34"/>
  <c r="H513" i="34"/>
  <c r="H512" i="34"/>
  <c r="H511" i="34"/>
  <c r="H510" i="34"/>
  <c r="H509" i="34"/>
  <c r="H508" i="34"/>
  <c r="H507" i="34"/>
  <c r="H506" i="34"/>
  <c r="H505" i="34"/>
  <c r="H504" i="34"/>
  <c r="H503" i="34"/>
  <c r="H502" i="34"/>
  <c r="H501" i="34"/>
  <c r="H500" i="34"/>
  <c r="H499" i="34"/>
  <c r="H498" i="34"/>
  <c r="H497" i="34"/>
  <c r="H496" i="34"/>
  <c r="H495" i="34"/>
  <c r="H494" i="34"/>
  <c r="H493" i="34"/>
  <c r="H492" i="34"/>
  <c r="H491" i="34"/>
  <c r="H490" i="34"/>
  <c r="H489" i="34"/>
  <c r="H488" i="34"/>
  <c r="H487" i="34"/>
  <c r="H486" i="34"/>
  <c r="H485" i="34"/>
  <c r="H484" i="34"/>
  <c r="H483" i="34"/>
  <c r="H482" i="34"/>
  <c r="H475" i="34"/>
  <c r="H474" i="34"/>
  <c r="H473" i="34"/>
  <c r="H472" i="34"/>
  <c r="H471" i="34"/>
  <c r="H470" i="34"/>
  <c r="H469" i="34"/>
  <c r="I468" i="34"/>
  <c r="H468" i="34"/>
  <c r="H467" i="34"/>
  <c r="I467" i="34" s="1"/>
  <c r="H466" i="34"/>
  <c r="H465" i="34"/>
  <c r="H464" i="34"/>
  <c r="H462" i="34"/>
  <c r="H461" i="34"/>
  <c r="I100" i="34"/>
  <c r="I99" i="34"/>
  <c r="I98" i="34"/>
  <c r="I97" i="34"/>
  <c r="I96" i="34"/>
  <c r="I95" i="34"/>
  <c r="I94" i="34"/>
  <c r="I93" i="34"/>
  <c r="I92" i="34"/>
  <c r="I91" i="34"/>
  <c r="I90" i="34"/>
  <c r="I89" i="34"/>
  <c r="I88" i="34"/>
  <c r="I87" i="34"/>
  <c r="I86" i="34"/>
  <c r="I85" i="34"/>
  <c r="I84" i="34"/>
  <c r="I83" i="34"/>
  <c r="I82" i="34"/>
  <c r="I81" i="34"/>
  <c r="I80" i="34"/>
  <c r="I79" i="34"/>
  <c r="I78" i="34"/>
  <c r="I77" i="34"/>
  <c r="I76" i="34"/>
  <c r="I75" i="34"/>
  <c r="I74" i="34"/>
  <c r="I73" i="34"/>
  <c r="I72" i="34"/>
  <c r="I71" i="34"/>
  <c r="I70" i="34"/>
  <c r="I69" i="34"/>
  <c r="I68" i="34"/>
  <c r="I67" i="34"/>
  <c r="I66" i="34"/>
  <c r="I65" i="34"/>
  <c r="I64" i="34"/>
  <c r="I63" i="34"/>
  <c r="I62" i="34"/>
  <c r="I61" i="34"/>
  <c r="I60" i="34"/>
  <c r="I59" i="34"/>
  <c r="I58" i="34"/>
  <c r="I57" i="34"/>
  <c r="I56" i="34"/>
  <c r="I55" i="34"/>
  <c r="I54" i="34"/>
  <c r="I53" i="34"/>
  <c r="I52" i="34"/>
  <c r="I51" i="34"/>
  <c r="I50" i="34"/>
  <c r="I49" i="34"/>
  <c r="I48" i="34"/>
  <c r="I47" i="34"/>
  <c r="I46" i="34"/>
  <c r="I45" i="34"/>
  <c r="I44" i="34"/>
  <c r="I43" i="34"/>
  <c r="I42" i="34"/>
  <c r="I41" i="34"/>
  <c r="I40" i="34"/>
  <c r="I39" i="34"/>
  <c r="I38" i="34"/>
  <c r="I37" i="34"/>
  <c r="I36" i="34"/>
  <c r="I35" i="34"/>
  <c r="I34" i="34"/>
  <c r="I33" i="34"/>
  <c r="I32" i="34"/>
  <c r="I31" i="34"/>
  <c r="H30" i="34"/>
  <c r="I30" i="34" s="1"/>
  <c r="H29" i="34"/>
  <c r="I29" i="34" s="1"/>
  <c r="H28" i="34"/>
  <c r="I28" i="34" s="1"/>
  <c r="H27" i="34"/>
  <c r="I27" i="34" s="1"/>
  <c r="H26" i="34"/>
  <c r="I26" i="34" s="1"/>
  <c r="H25" i="34"/>
  <c r="H24" i="34"/>
  <c r="I24" i="34" s="1"/>
  <c r="H23" i="34"/>
  <c r="I23" i="34" s="1"/>
  <c r="H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H7" i="34"/>
  <c r="I7" i="34" s="1"/>
  <c r="I6" i="34"/>
  <c r="I5" i="34"/>
  <c r="G2" i="34"/>
  <c r="H2" i="34" l="1"/>
  <c r="I2" i="34" s="1"/>
  <c r="I22" i="34"/>
  <c r="H288" i="34"/>
  <c r="I237" i="34"/>
  <c r="I25" i="34"/>
  <c r="K454" i="29" l="1"/>
  <c r="K1091" i="29" s="1"/>
  <c r="K1093" i="29" s="1"/>
  <c r="G1091" i="29"/>
  <c r="H1091" i="29"/>
  <c r="F1091" i="29"/>
  <c r="G454" i="29"/>
  <c r="H454" i="29"/>
  <c r="F454" i="29"/>
  <c r="G98" i="29"/>
  <c r="G1093" i="29" s="1"/>
  <c r="H98" i="29"/>
  <c r="H1093" i="29" s="1"/>
  <c r="F98" i="29"/>
  <c r="F1093" i="29" s="1"/>
  <c r="F17" i="27" l="1"/>
  <c r="I17" i="27"/>
  <c r="L17" i="27"/>
  <c r="C17" i="27"/>
  <c r="O17" i="27"/>
  <c r="A79" i="8"/>
  <c r="A66" i="18" s="1"/>
  <c r="M87" i="6"/>
  <c r="Q87" i="6" s="1"/>
  <c r="U87" i="6" s="1"/>
  <c r="D88" i="33"/>
  <c r="D66" i="33" s="1"/>
  <c r="E66" i="33" s="1"/>
  <c r="D50" i="33"/>
  <c r="D63" i="33" s="1"/>
  <c r="D45" i="33" s="1"/>
  <c r="E45" i="33" s="1"/>
  <c r="D43" i="33"/>
  <c r="D21" i="33" s="1"/>
  <c r="E21" i="33" s="1"/>
  <c r="E18" i="33"/>
  <c r="D8" i="33"/>
  <c r="D18" i="33" s="1"/>
  <c r="D3" i="33" s="1"/>
  <c r="E3" i="33" l="1"/>
  <c r="D90" i="33"/>
  <c r="E90" i="33" l="1"/>
  <c r="M79" i="8"/>
  <c r="Q79" i="8" s="1"/>
  <c r="U79" i="8" s="1"/>
  <c r="D92" i="33"/>
  <c r="D94" i="33"/>
  <c r="M52" i="6" l="1"/>
  <c r="A10" i="27" l="1"/>
  <c r="G32" i="22"/>
  <c r="F33" i="23" s="1"/>
  <c r="D32" i="22"/>
  <c r="C33" i="23" s="1"/>
  <c r="C32" i="22"/>
  <c r="B33" i="23" s="1"/>
  <c r="F33" i="22"/>
  <c r="I33" i="22"/>
  <c r="L33" i="22"/>
  <c r="A32" i="22"/>
  <c r="A33" i="23" s="1"/>
  <c r="A31" i="22"/>
  <c r="A32" i="23" s="1"/>
  <c r="I61" i="22" l="1"/>
  <c r="L61" i="22"/>
  <c r="F61" i="22"/>
  <c r="K689" i="29"/>
  <c r="M34" i="6"/>
  <c r="M27" i="6"/>
  <c r="N170" i="32"/>
  <c r="O168" i="32"/>
  <c r="P168" i="32" s="1"/>
  <c r="O164" i="32"/>
  <c r="P164" i="32" s="1"/>
  <c r="O163" i="32"/>
  <c r="P163" i="32" s="1"/>
  <c r="P160" i="32"/>
  <c r="M33" i="6" s="1"/>
  <c r="O160" i="32"/>
  <c r="O149" i="32"/>
  <c r="O146" i="32"/>
  <c r="P146" i="32" s="1"/>
  <c r="O145" i="32"/>
  <c r="O138" i="32"/>
  <c r="P138" i="32" s="1"/>
  <c r="M23" i="6" s="1"/>
  <c r="O136" i="32"/>
  <c r="P136" i="32" s="1"/>
  <c r="O132" i="32"/>
  <c r="P132" i="32" s="1"/>
  <c r="B83" i="32"/>
  <c r="N63" i="32"/>
  <c r="N61" i="32"/>
  <c r="N59" i="32"/>
  <c r="N55" i="32"/>
  <c r="N53" i="32"/>
  <c r="N51" i="32"/>
  <c r="N49" i="32"/>
  <c r="N47" i="32"/>
  <c r="N40" i="32"/>
  <c r="N38" i="32"/>
  <c r="N30" i="32"/>
  <c r="N26" i="32"/>
  <c r="N98" i="32" s="1"/>
  <c r="N10" i="32"/>
  <c r="N8" i="32"/>
  <c r="N2" i="32"/>
  <c r="Q126" i="32" s="1"/>
  <c r="Q127" i="32" s="1"/>
  <c r="Q160" i="32" l="1"/>
  <c r="M38" i="6"/>
  <c r="J10" i="27"/>
  <c r="G10" i="27"/>
  <c r="C10" i="27"/>
  <c r="P170" i="32"/>
  <c r="O170" i="32"/>
  <c r="O172" i="32" s="1"/>
  <c r="N127" i="32"/>
  <c r="J375" i="29" l="1"/>
  <c r="O174" i="31" l="1"/>
  <c r="N170" i="31"/>
  <c r="O168" i="31"/>
  <c r="P168" i="31" s="1"/>
  <c r="O164" i="31"/>
  <c r="P164" i="31" s="1"/>
  <c r="O163" i="31"/>
  <c r="P163" i="31" s="1"/>
  <c r="O160" i="31"/>
  <c r="O149" i="31"/>
  <c r="O146" i="31"/>
  <c r="P146" i="31" s="1"/>
  <c r="O145" i="31"/>
  <c r="O138" i="31"/>
  <c r="P138" i="31" s="1"/>
  <c r="O136" i="31"/>
  <c r="P136" i="31" s="1"/>
  <c r="P132" i="31"/>
  <c r="O132" i="31"/>
  <c r="B83" i="31"/>
  <c r="N63" i="31"/>
  <c r="N61" i="31"/>
  <c r="N59" i="31"/>
  <c r="N55" i="31"/>
  <c r="N53" i="31"/>
  <c r="N51" i="31"/>
  <c r="N49" i="31"/>
  <c r="N47" i="31"/>
  <c r="N40" i="31"/>
  <c r="N38" i="31"/>
  <c r="N30" i="31"/>
  <c r="N26" i="31"/>
  <c r="N10" i="31"/>
  <c r="N8" i="31"/>
  <c r="N2" i="31"/>
  <c r="I1089" i="29"/>
  <c r="I1088" i="29"/>
  <c r="I1087" i="29"/>
  <c r="I1086" i="29"/>
  <c r="I1085" i="29"/>
  <c r="I1084" i="29"/>
  <c r="I1083" i="29"/>
  <c r="I1082" i="29"/>
  <c r="I1081" i="29"/>
  <c r="I1080" i="29"/>
  <c r="I1079" i="29"/>
  <c r="I1078" i="29"/>
  <c r="I1077" i="29"/>
  <c r="I1076" i="29"/>
  <c r="I1075" i="29"/>
  <c r="I1074" i="29"/>
  <c r="I1073" i="29"/>
  <c r="I1072" i="29"/>
  <c r="I1071" i="29"/>
  <c r="I1070" i="29"/>
  <c r="I1069" i="29"/>
  <c r="I1068" i="29"/>
  <c r="I1067" i="29"/>
  <c r="I1066" i="29"/>
  <c r="I1065" i="29"/>
  <c r="I1064" i="29"/>
  <c r="I1063" i="29"/>
  <c r="I1062" i="29"/>
  <c r="I1061" i="29"/>
  <c r="I1060" i="29"/>
  <c r="I1059" i="29"/>
  <c r="I1058" i="29"/>
  <c r="I1057" i="29"/>
  <c r="I1056" i="29"/>
  <c r="I1055" i="29"/>
  <c r="I1054" i="29"/>
  <c r="I1053" i="29"/>
  <c r="I1052" i="29"/>
  <c r="I1051" i="29"/>
  <c r="I1050" i="29"/>
  <c r="I1049" i="29"/>
  <c r="I1048" i="29"/>
  <c r="I1047" i="29"/>
  <c r="I1046" i="29"/>
  <c r="I1045" i="29"/>
  <c r="I1044" i="29"/>
  <c r="I1043" i="29"/>
  <c r="I1042" i="29"/>
  <c r="I1041" i="29"/>
  <c r="I1040" i="29"/>
  <c r="I1039" i="29"/>
  <c r="I1038" i="29"/>
  <c r="I1037" i="29"/>
  <c r="I1036" i="29"/>
  <c r="I1035" i="29"/>
  <c r="I1034" i="29"/>
  <c r="I1033" i="29"/>
  <c r="I1032" i="29"/>
  <c r="I1031" i="29"/>
  <c r="I1030" i="29"/>
  <c r="I1029" i="29"/>
  <c r="I1028" i="29"/>
  <c r="I1027" i="29"/>
  <c r="I1026" i="29"/>
  <c r="I1025" i="29"/>
  <c r="I1024" i="29"/>
  <c r="I1023" i="29"/>
  <c r="I1022" i="29"/>
  <c r="I1021" i="29"/>
  <c r="I1020" i="29"/>
  <c r="I1019" i="29"/>
  <c r="I1018" i="29"/>
  <c r="I1017" i="29"/>
  <c r="I1016" i="29"/>
  <c r="I1015" i="29"/>
  <c r="I1014" i="29"/>
  <c r="I1013" i="29"/>
  <c r="I1012" i="29"/>
  <c r="I1011" i="29"/>
  <c r="I1010" i="29"/>
  <c r="I1009" i="29"/>
  <c r="I1008" i="29"/>
  <c r="I1007" i="29"/>
  <c r="I1006" i="29"/>
  <c r="I1005" i="29"/>
  <c r="I1004" i="29"/>
  <c r="I1003" i="29"/>
  <c r="I1002" i="29"/>
  <c r="I1001" i="29"/>
  <c r="I1000" i="29"/>
  <c r="I999" i="29"/>
  <c r="I998" i="29"/>
  <c r="I997" i="29"/>
  <c r="I996" i="29"/>
  <c r="I995" i="29"/>
  <c r="I994" i="29"/>
  <c r="I993" i="29"/>
  <c r="I992" i="29"/>
  <c r="I991" i="29"/>
  <c r="I990" i="29"/>
  <c r="I989" i="29"/>
  <c r="I988" i="29"/>
  <c r="I987" i="29"/>
  <c r="I986" i="29"/>
  <c r="I985" i="29"/>
  <c r="I984" i="29"/>
  <c r="I983" i="29"/>
  <c r="I982" i="29"/>
  <c r="I981" i="29"/>
  <c r="I980" i="29"/>
  <c r="I979" i="29"/>
  <c r="I978" i="29"/>
  <c r="I977" i="29"/>
  <c r="I976" i="29"/>
  <c r="I975" i="29"/>
  <c r="I974" i="29"/>
  <c r="I973" i="29"/>
  <c r="I972" i="29"/>
  <c r="I971" i="29"/>
  <c r="I970" i="29"/>
  <c r="I969" i="29"/>
  <c r="I968" i="29"/>
  <c r="I967" i="29"/>
  <c r="I966" i="29"/>
  <c r="I965" i="29"/>
  <c r="I964" i="29"/>
  <c r="I963" i="29"/>
  <c r="I962" i="29"/>
  <c r="I961" i="29"/>
  <c r="I960" i="29"/>
  <c r="I959" i="29"/>
  <c r="I958" i="29"/>
  <c r="I957" i="29"/>
  <c r="I956" i="29"/>
  <c r="I955" i="29"/>
  <c r="I954" i="29"/>
  <c r="I953" i="29"/>
  <c r="I952" i="29"/>
  <c r="I951" i="29"/>
  <c r="I950" i="29"/>
  <c r="I949" i="29"/>
  <c r="I948" i="29"/>
  <c r="I947" i="29"/>
  <c r="I946" i="29"/>
  <c r="I945" i="29"/>
  <c r="I944" i="29"/>
  <c r="I943" i="29"/>
  <c r="I942" i="29"/>
  <c r="I941" i="29"/>
  <c r="I940" i="29"/>
  <c r="I939" i="29"/>
  <c r="I938" i="29"/>
  <c r="I937" i="29"/>
  <c r="I936" i="29"/>
  <c r="I935" i="29"/>
  <c r="I934" i="29"/>
  <c r="I933" i="29"/>
  <c r="I932" i="29"/>
  <c r="I931" i="29"/>
  <c r="I930" i="29"/>
  <c r="I929" i="29"/>
  <c r="I928" i="29"/>
  <c r="I927" i="29"/>
  <c r="I926" i="29"/>
  <c r="I925" i="29"/>
  <c r="I924" i="29"/>
  <c r="I923" i="29"/>
  <c r="I922" i="29"/>
  <c r="I921" i="29"/>
  <c r="I920" i="29"/>
  <c r="I919" i="29"/>
  <c r="I918" i="29"/>
  <c r="I917" i="29"/>
  <c r="I916" i="29"/>
  <c r="I915" i="29"/>
  <c r="I914" i="29"/>
  <c r="I913" i="29"/>
  <c r="I912" i="29"/>
  <c r="I911" i="29"/>
  <c r="I910" i="29"/>
  <c r="I909" i="29"/>
  <c r="I908" i="29"/>
  <c r="I907" i="29"/>
  <c r="I906" i="29"/>
  <c r="I905" i="29"/>
  <c r="I904" i="29"/>
  <c r="I903" i="29"/>
  <c r="I902" i="29"/>
  <c r="I901" i="29"/>
  <c r="I900" i="29"/>
  <c r="I899" i="29"/>
  <c r="I898" i="29"/>
  <c r="I897" i="29"/>
  <c r="I896" i="29"/>
  <c r="I895" i="29"/>
  <c r="I894" i="29"/>
  <c r="I893" i="29"/>
  <c r="I892" i="29"/>
  <c r="I891" i="29"/>
  <c r="I890" i="29"/>
  <c r="I889" i="29"/>
  <c r="I888" i="29"/>
  <c r="I887" i="29"/>
  <c r="I886" i="29"/>
  <c r="I885" i="29"/>
  <c r="I884" i="29"/>
  <c r="I883" i="29"/>
  <c r="I882" i="29"/>
  <c r="I881" i="29"/>
  <c r="I880" i="29"/>
  <c r="I879" i="29"/>
  <c r="I878" i="29"/>
  <c r="I877" i="29"/>
  <c r="I876" i="29"/>
  <c r="I875" i="29"/>
  <c r="I874" i="29"/>
  <c r="I873" i="29"/>
  <c r="I872" i="29"/>
  <c r="I871" i="29"/>
  <c r="I870" i="29"/>
  <c r="I869" i="29"/>
  <c r="I868" i="29"/>
  <c r="I867" i="29"/>
  <c r="I866" i="29"/>
  <c r="I865" i="29"/>
  <c r="I864" i="29"/>
  <c r="I863" i="29"/>
  <c r="I862" i="29"/>
  <c r="I861" i="29"/>
  <c r="I860" i="29"/>
  <c r="I859" i="29"/>
  <c r="I858" i="29"/>
  <c r="I857" i="29"/>
  <c r="I856" i="29"/>
  <c r="I855" i="29"/>
  <c r="I854" i="29"/>
  <c r="I853" i="29"/>
  <c r="I852" i="29"/>
  <c r="I851" i="29"/>
  <c r="I850" i="29"/>
  <c r="I849" i="29"/>
  <c r="I848" i="29"/>
  <c r="I847" i="29"/>
  <c r="I846" i="29"/>
  <c r="I845" i="29"/>
  <c r="I844" i="29"/>
  <c r="I843" i="29"/>
  <c r="I842" i="29"/>
  <c r="I841" i="29"/>
  <c r="I840" i="29"/>
  <c r="I839" i="29"/>
  <c r="I838" i="29"/>
  <c r="I837" i="29"/>
  <c r="I836" i="29"/>
  <c r="I835" i="29"/>
  <c r="I834" i="29"/>
  <c r="I833" i="29"/>
  <c r="I832" i="29"/>
  <c r="I831" i="29"/>
  <c r="I830" i="29"/>
  <c r="I829" i="29"/>
  <c r="I828" i="29"/>
  <c r="I827" i="29"/>
  <c r="I826" i="29"/>
  <c r="I825" i="29"/>
  <c r="I824" i="29"/>
  <c r="I823" i="29"/>
  <c r="I822" i="29"/>
  <c r="I821" i="29"/>
  <c r="I820" i="29"/>
  <c r="I819" i="29"/>
  <c r="I818" i="29"/>
  <c r="I817" i="29"/>
  <c r="I816" i="29"/>
  <c r="I815" i="29"/>
  <c r="I814" i="29"/>
  <c r="I813" i="29"/>
  <c r="I812" i="29"/>
  <c r="I811" i="29"/>
  <c r="I810" i="29"/>
  <c r="I809" i="29"/>
  <c r="I808" i="29"/>
  <c r="I807" i="29"/>
  <c r="I806" i="29"/>
  <c r="I805" i="29"/>
  <c r="I804" i="29"/>
  <c r="I803" i="29"/>
  <c r="I802" i="29"/>
  <c r="I801" i="29"/>
  <c r="I800" i="29"/>
  <c r="I799" i="29"/>
  <c r="I798" i="29"/>
  <c r="I797" i="29"/>
  <c r="I796" i="29"/>
  <c r="I795" i="29"/>
  <c r="I794" i="29"/>
  <c r="I793" i="29"/>
  <c r="I792" i="29"/>
  <c r="I791" i="29"/>
  <c r="I790" i="29"/>
  <c r="I789" i="29"/>
  <c r="I788" i="29"/>
  <c r="I787" i="29"/>
  <c r="I786" i="29"/>
  <c r="I785" i="29"/>
  <c r="I784" i="29"/>
  <c r="I783" i="29"/>
  <c r="I782" i="29"/>
  <c r="I781" i="29"/>
  <c r="I780" i="29"/>
  <c r="I779" i="29"/>
  <c r="I778" i="29"/>
  <c r="I777" i="29"/>
  <c r="I776" i="29"/>
  <c r="I775" i="29"/>
  <c r="I774" i="29"/>
  <c r="I773" i="29"/>
  <c r="I772" i="29"/>
  <c r="I771" i="29"/>
  <c r="I770" i="29"/>
  <c r="I769" i="29"/>
  <c r="I768" i="29"/>
  <c r="I767" i="29"/>
  <c r="I766" i="29"/>
  <c r="I765" i="29"/>
  <c r="I764" i="29"/>
  <c r="I763" i="29"/>
  <c r="I762" i="29"/>
  <c r="I761" i="29"/>
  <c r="I759" i="29"/>
  <c r="I758" i="29"/>
  <c r="I757" i="29"/>
  <c r="I756" i="29"/>
  <c r="I755" i="29"/>
  <c r="I754" i="29"/>
  <c r="I753" i="29"/>
  <c r="I752" i="29"/>
  <c r="I751" i="29"/>
  <c r="I750" i="29"/>
  <c r="I749" i="29"/>
  <c r="I748" i="29"/>
  <c r="I747" i="29"/>
  <c r="I746" i="29"/>
  <c r="I745" i="29"/>
  <c r="I744" i="29"/>
  <c r="I743" i="29"/>
  <c r="I742" i="29"/>
  <c r="I741" i="29"/>
  <c r="I740" i="29"/>
  <c r="I739" i="29"/>
  <c r="I738" i="29"/>
  <c r="I737" i="29"/>
  <c r="I736" i="29"/>
  <c r="I735" i="29"/>
  <c r="I734" i="29"/>
  <c r="I733" i="29"/>
  <c r="I732" i="29"/>
  <c r="I731" i="29"/>
  <c r="I730" i="29"/>
  <c r="I729" i="29"/>
  <c r="I728" i="29"/>
  <c r="I727" i="29"/>
  <c r="I726" i="29"/>
  <c r="I725" i="29"/>
  <c r="I724" i="29"/>
  <c r="I723" i="29"/>
  <c r="I722" i="29"/>
  <c r="I721" i="29"/>
  <c r="I720" i="29"/>
  <c r="I719" i="29"/>
  <c r="I718" i="29"/>
  <c r="I717" i="29"/>
  <c r="I716" i="29"/>
  <c r="I715" i="29"/>
  <c r="I714" i="29"/>
  <c r="I713" i="29"/>
  <c r="I712" i="29"/>
  <c r="I711" i="29"/>
  <c r="I710" i="29"/>
  <c r="I709" i="29"/>
  <c r="I708" i="29"/>
  <c r="I707" i="29"/>
  <c r="I706" i="29"/>
  <c r="I705" i="29"/>
  <c r="I704" i="29"/>
  <c r="I703" i="29"/>
  <c r="I702" i="29"/>
  <c r="I701" i="29"/>
  <c r="I700" i="29"/>
  <c r="I699" i="29"/>
  <c r="I698" i="29"/>
  <c r="I697" i="29"/>
  <c r="I696" i="29"/>
  <c r="I695" i="29"/>
  <c r="I694" i="29"/>
  <c r="I693" i="29"/>
  <c r="I692" i="29"/>
  <c r="I691" i="29"/>
  <c r="I690" i="29"/>
  <c r="I688" i="29"/>
  <c r="I687" i="29"/>
  <c r="I686" i="29"/>
  <c r="I685" i="29"/>
  <c r="I684" i="29"/>
  <c r="I683" i="29"/>
  <c r="I682" i="29"/>
  <c r="I681" i="29"/>
  <c r="I680" i="29"/>
  <c r="I679" i="29"/>
  <c r="I678" i="29"/>
  <c r="I676" i="29"/>
  <c r="I675" i="29"/>
  <c r="I674" i="29"/>
  <c r="I673" i="29"/>
  <c r="I672" i="29"/>
  <c r="I671" i="29"/>
  <c r="I670" i="29"/>
  <c r="I669" i="29"/>
  <c r="I668" i="29"/>
  <c r="I667" i="29"/>
  <c r="I666" i="29"/>
  <c r="I665" i="29"/>
  <c r="I664" i="29"/>
  <c r="I663" i="29"/>
  <c r="I662" i="29"/>
  <c r="I661" i="29"/>
  <c r="I660" i="29"/>
  <c r="I659" i="29"/>
  <c r="I658" i="29"/>
  <c r="I657" i="29"/>
  <c r="I656" i="29"/>
  <c r="I655" i="29"/>
  <c r="I654" i="29"/>
  <c r="I653" i="29"/>
  <c r="I652" i="29"/>
  <c r="I651" i="29"/>
  <c r="I650" i="29"/>
  <c r="I649" i="29"/>
  <c r="I648" i="29"/>
  <c r="I647" i="29"/>
  <c r="I646" i="29"/>
  <c r="I645" i="29"/>
  <c r="I644" i="29"/>
  <c r="I643" i="29"/>
  <c r="I642" i="29"/>
  <c r="I641" i="29"/>
  <c r="I640" i="29"/>
  <c r="I639" i="29"/>
  <c r="I638" i="29"/>
  <c r="I637" i="29"/>
  <c r="I636" i="29"/>
  <c r="I635" i="29"/>
  <c r="I634" i="29"/>
  <c r="I633" i="29"/>
  <c r="I632" i="29"/>
  <c r="I631" i="29"/>
  <c r="I630" i="29"/>
  <c r="I629" i="29"/>
  <c r="I628" i="29"/>
  <c r="I627" i="29"/>
  <c r="I626" i="29"/>
  <c r="I625" i="29"/>
  <c r="I624" i="29"/>
  <c r="I623" i="29"/>
  <c r="I622" i="29"/>
  <c r="I621" i="29"/>
  <c r="I620" i="29"/>
  <c r="I619" i="29"/>
  <c r="I618" i="29"/>
  <c r="I617" i="29"/>
  <c r="I616" i="29"/>
  <c r="I615" i="29"/>
  <c r="I614" i="29"/>
  <c r="I613" i="29"/>
  <c r="I612" i="29"/>
  <c r="I611" i="29"/>
  <c r="I610" i="29"/>
  <c r="I609" i="29"/>
  <c r="I608" i="29"/>
  <c r="I607" i="29"/>
  <c r="I606" i="29"/>
  <c r="I605" i="29"/>
  <c r="I604" i="29"/>
  <c r="I603" i="29"/>
  <c r="I602" i="29"/>
  <c r="I601" i="29"/>
  <c r="I600" i="29"/>
  <c r="I599" i="29"/>
  <c r="I598" i="29"/>
  <c r="I597" i="29"/>
  <c r="I596" i="29"/>
  <c r="I595" i="29"/>
  <c r="I594" i="29"/>
  <c r="I593" i="29"/>
  <c r="I592" i="29"/>
  <c r="I591" i="29"/>
  <c r="I590" i="29"/>
  <c r="I589" i="29"/>
  <c r="I588" i="29"/>
  <c r="I587" i="29"/>
  <c r="I586" i="29"/>
  <c r="I585" i="29"/>
  <c r="I584" i="29"/>
  <c r="I583" i="29"/>
  <c r="I582" i="29"/>
  <c r="I581" i="29"/>
  <c r="I580" i="29"/>
  <c r="I579" i="29"/>
  <c r="I578" i="29"/>
  <c r="I577" i="29"/>
  <c r="I576" i="29"/>
  <c r="I575" i="29"/>
  <c r="I574" i="29"/>
  <c r="I573" i="29"/>
  <c r="I572" i="29"/>
  <c r="I571" i="29"/>
  <c r="I570" i="29"/>
  <c r="I569" i="29"/>
  <c r="I568" i="29"/>
  <c r="I567" i="29"/>
  <c r="I566" i="29"/>
  <c r="I565" i="29"/>
  <c r="I564" i="29"/>
  <c r="I563" i="29"/>
  <c r="I562" i="29"/>
  <c r="I561" i="29"/>
  <c r="I560" i="29"/>
  <c r="I559" i="29"/>
  <c r="I558" i="29"/>
  <c r="I557" i="29"/>
  <c r="I556" i="29"/>
  <c r="I555" i="29"/>
  <c r="I554" i="29"/>
  <c r="I553" i="29"/>
  <c r="I552" i="29"/>
  <c r="I551" i="29"/>
  <c r="I550" i="29"/>
  <c r="I549" i="29"/>
  <c r="I548" i="29"/>
  <c r="I547" i="29"/>
  <c r="I546" i="29"/>
  <c r="I545" i="29"/>
  <c r="I544" i="29"/>
  <c r="I543" i="29"/>
  <c r="I542" i="29"/>
  <c r="I541" i="29"/>
  <c r="I540" i="29"/>
  <c r="I539" i="29"/>
  <c r="I538" i="29"/>
  <c r="I537" i="29"/>
  <c r="I536" i="29"/>
  <c r="I535" i="29"/>
  <c r="I534" i="29"/>
  <c r="I533" i="29"/>
  <c r="I532" i="29"/>
  <c r="I531" i="29"/>
  <c r="I530" i="29"/>
  <c r="I529" i="29"/>
  <c r="I528" i="29"/>
  <c r="I527" i="29"/>
  <c r="I526" i="29"/>
  <c r="I525" i="29"/>
  <c r="I524" i="29"/>
  <c r="I523" i="29"/>
  <c r="I522" i="29"/>
  <c r="I521" i="29"/>
  <c r="I520" i="29"/>
  <c r="I519" i="29"/>
  <c r="I518" i="29"/>
  <c r="I517" i="29"/>
  <c r="I516" i="29"/>
  <c r="I515" i="29"/>
  <c r="I514" i="29"/>
  <c r="I513" i="29"/>
  <c r="I512" i="29"/>
  <c r="I511" i="29"/>
  <c r="I510" i="29"/>
  <c r="I509" i="29"/>
  <c r="I508" i="29"/>
  <c r="I507" i="29"/>
  <c r="I506" i="29"/>
  <c r="I505" i="29"/>
  <c r="I504" i="29"/>
  <c r="I503" i="29"/>
  <c r="I502" i="29"/>
  <c r="I501" i="29"/>
  <c r="I500" i="29"/>
  <c r="I499" i="29"/>
  <c r="I498" i="29"/>
  <c r="I497" i="29"/>
  <c r="I496" i="29"/>
  <c r="I495" i="29"/>
  <c r="I494" i="29"/>
  <c r="I492" i="29"/>
  <c r="I491" i="29"/>
  <c r="I490" i="29"/>
  <c r="I489" i="29"/>
  <c r="I480" i="29"/>
  <c r="K453" i="29"/>
  <c r="I453" i="29"/>
  <c r="I454" i="29" s="1"/>
  <c r="J102" i="29"/>
  <c r="J95" i="29"/>
  <c r="J94" i="29"/>
  <c r="J93" i="29"/>
  <c r="J92" i="29"/>
  <c r="J91" i="29"/>
  <c r="J90" i="29"/>
  <c r="J89" i="29"/>
  <c r="J88" i="29"/>
  <c r="J87" i="29"/>
  <c r="J86" i="29"/>
  <c r="J85" i="29"/>
  <c r="J84" i="29"/>
  <c r="I83" i="29"/>
  <c r="J82" i="29"/>
  <c r="J81" i="29"/>
  <c r="J80" i="29"/>
  <c r="J79" i="29"/>
  <c r="J78" i="29"/>
  <c r="I77" i="29"/>
  <c r="J77" i="29" s="1"/>
  <c r="J76" i="29"/>
  <c r="J75" i="29"/>
  <c r="J74" i="29"/>
  <c r="J73" i="29"/>
  <c r="J72" i="29"/>
  <c r="J71" i="29"/>
  <c r="J70" i="29"/>
  <c r="J69" i="29"/>
  <c r="J68" i="29"/>
  <c r="J67" i="29"/>
  <c r="J66" i="29"/>
  <c r="J65" i="29"/>
  <c r="J64" i="29"/>
  <c r="J63" i="29"/>
  <c r="J62" i="29"/>
  <c r="J61" i="29"/>
  <c r="J60" i="29"/>
  <c r="J59" i="29"/>
  <c r="J58" i="29"/>
  <c r="J57" i="29"/>
  <c r="J56" i="29"/>
  <c r="J55" i="29"/>
  <c r="J54" i="29"/>
  <c r="J53" i="29"/>
  <c r="J52" i="29"/>
  <c r="J51" i="29"/>
  <c r="J50" i="29"/>
  <c r="J49" i="29"/>
  <c r="J48" i="29"/>
  <c r="J47" i="29"/>
  <c r="J46" i="29"/>
  <c r="J45" i="29"/>
  <c r="J44" i="29"/>
  <c r="J43" i="29"/>
  <c r="I42" i="29"/>
  <c r="J42" i="29" s="1"/>
  <c r="J41" i="29"/>
  <c r="J40" i="29"/>
  <c r="J39" i="29"/>
  <c r="J38" i="29"/>
  <c r="J37" i="29"/>
  <c r="J36" i="29"/>
  <c r="J35" i="29"/>
  <c r="J34" i="29"/>
  <c r="I33" i="29"/>
  <c r="J33" i="29" s="1"/>
  <c r="J32" i="29"/>
  <c r="I31" i="29"/>
  <c r="J31" i="29" s="1"/>
  <c r="J30" i="29"/>
  <c r="I29" i="29"/>
  <c r="J29" i="29" s="1"/>
  <c r="I28" i="29"/>
  <c r="J28" i="29" s="1"/>
  <c r="J27" i="29"/>
  <c r="J26" i="29"/>
  <c r="I25" i="29"/>
  <c r="J25" i="29" s="1"/>
  <c r="J24" i="29"/>
  <c r="J23" i="29"/>
  <c r="I22" i="29"/>
  <c r="J22" i="29" s="1"/>
  <c r="J21" i="29"/>
  <c r="J20" i="29"/>
  <c r="J19" i="29"/>
  <c r="J18" i="29"/>
  <c r="J17" i="29"/>
  <c r="I16" i="29"/>
  <c r="J16" i="29" s="1"/>
  <c r="J15" i="29"/>
  <c r="J14" i="29"/>
  <c r="I13" i="29"/>
  <c r="J12" i="29"/>
  <c r="J11" i="29"/>
  <c r="N98" i="31" l="1"/>
  <c r="N127" i="31"/>
  <c r="O172" i="31"/>
  <c r="O175" i="31" s="1"/>
  <c r="K480" i="29"/>
  <c r="I1091" i="29"/>
  <c r="J13" i="29"/>
  <c r="I98" i="29"/>
  <c r="I1093" i="29" s="1"/>
  <c r="K732" i="29"/>
  <c r="K558" i="29"/>
  <c r="M77" i="6" s="1"/>
  <c r="J83" i="29"/>
  <c r="K542" i="29"/>
  <c r="K494" i="29"/>
  <c r="K1088" i="29"/>
  <c r="M85" i="6" s="1"/>
  <c r="M22" i="6" s="1"/>
  <c r="J1088" i="29"/>
  <c r="K1073" i="29"/>
  <c r="M69" i="6" s="1"/>
  <c r="K1051" i="29"/>
  <c r="K1010" i="29"/>
  <c r="M66" i="6" s="1"/>
  <c r="K843" i="29"/>
  <c r="K840" i="29"/>
  <c r="K802" i="29"/>
  <c r="K781" i="29"/>
  <c r="K777" i="29"/>
  <c r="M70" i="6" s="1"/>
  <c r="K769" i="29"/>
  <c r="K757" i="29"/>
  <c r="K727" i="29"/>
  <c r="M57" i="6" s="1"/>
  <c r="K688" i="29"/>
  <c r="K665" i="29"/>
  <c r="K628" i="29"/>
  <c r="K603" i="29"/>
  <c r="K584" i="29"/>
  <c r="K552" i="29"/>
  <c r="K537" i="29"/>
  <c r="P170" i="31"/>
  <c r="O170" i="31"/>
  <c r="Q126" i="31"/>
  <c r="Q127" i="31" s="1"/>
  <c r="K968" i="29"/>
  <c r="M63" i="6" s="1"/>
  <c r="M58" i="6" l="1"/>
  <c r="M62" i="6"/>
  <c r="M80" i="6"/>
  <c r="K1090" i="29"/>
  <c r="M64" i="6"/>
  <c r="M79" i="6"/>
  <c r="M67" i="6"/>
  <c r="M47" i="6"/>
  <c r="Q47" i="6" s="1"/>
  <c r="U47" i="6" s="1"/>
  <c r="Y47" i="6" s="1"/>
  <c r="AC47" i="6" s="1"/>
  <c r="M46" i="6"/>
  <c r="M50" i="6" l="1"/>
  <c r="F11" i="28"/>
  <c r="F13" i="28" s="1"/>
  <c r="F3" i="28"/>
  <c r="C7" i="28"/>
  <c r="E7" i="28" l="1"/>
  <c r="C9" i="27"/>
  <c r="D9" i="27" s="1"/>
  <c r="G7" i="28" l="1"/>
  <c r="F9" i="27"/>
  <c r="I9" i="27" l="1"/>
  <c r="G9" i="27"/>
  <c r="L9" i="27" l="1"/>
  <c r="J9" i="27"/>
  <c r="C60" i="22"/>
  <c r="C59" i="22"/>
  <c r="C57" i="22"/>
  <c r="C56" i="22"/>
  <c r="B59" i="19" l="1"/>
  <c r="D82" i="23" l="1"/>
  <c r="D84" i="23" s="1"/>
  <c r="E82" i="23"/>
  <c r="G82" i="23"/>
  <c r="G84" i="23" s="1"/>
  <c r="H82" i="23"/>
  <c r="H84" i="23" s="1"/>
  <c r="J82" i="23"/>
  <c r="J84" i="23" s="1"/>
  <c r="K82" i="23"/>
  <c r="M82" i="23"/>
  <c r="M84" i="23" s="1"/>
  <c r="N82" i="23"/>
  <c r="N84" i="23" s="1"/>
  <c r="E84" i="23"/>
  <c r="K84" i="23"/>
  <c r="M24" i="19" l="1"/>
  <c r="M23" i="19"/>
  <c r="M22" i="19"/>
  <c r="M21" i="19"/>
  <c r="M20" i="19"/>
  <c r="M19" i="19"/>
  <c r="M18" i="19"/>
  <c r="M17" i="19"/>
  <c r="M16" i="19"/>
  <c r="J24" i="19"/>
  <c r="J23" i="19"/>
  <c r="J22" i="19"/>
  <c r="J21" i="19"/>
  <c r="J20" i="19"/>
  <c r="J19" i="19"/>
  <c r="J18" i="19"/>
  <c r="J17" i="19"/>
  <c r="J16" i="19"/>
  <c r="G24" i="19"/>
  <c r="G23" i="19"/>
  <c r="G22" i="19"/>
  <c r="G21" i="19"/>
  <c r="G20" i="19"/>
  <c r="G19" i="19"/>
  <c r="G18" i="19"/>
  <c r="G17" i="19"/>
  <c r="G16" i="19"/>
  <c r="D24" i="19"/>
  <c r="D23" i="19"/>
  <c r="D22" i="19"/>
  <c r="D21" i="19"/>
  <c r="D20" i="19"/>
  <c r="D19" i="19"/>
  <c r="D18" i="19"/>
  <c r="D17" i="19"/>
  <c r="D16" i="19"/>
  <c r="C24" i="19"/>
  <c r="C23" i="19"/>
  <c r="C22" i="19"/>
  <c r="C21" i="19"/>
  <c r="C20" i="19"/>
  <c r="C19" i="19"/>
  <c r="C18" i="19"/>
  <c r="C17" i="19"/>
  <c r="C16" i="19"/>
  <c r="B17" i="19"/>
  <c r="B18" i="19"/>
  <c r="B19" i="19"/>
  <c r="B20" i="19"/>
  <c r="B21" i="19"/>
  <c r="B22" i="19"/>
  <c r="B23" i="19"/>
  <c r="B24" i="19"/>
  <c r="B16" i="19"/>
  <c r="N64" i="23" l="1"/>
  <c r="K64" i="23"/>
  <c r="H64" i="23"/>
  <c r="E64" i="23"/>
  <c r="N56" i="23"/>
  <c r="K56" i="23"/>
  <c r="H56" i="23"/>
  <c r="E56" i="23"/>
  <c r="K43" i="23"/>
  <c r="H43" i="23"/>
  <c r="E43" i="23"/>
  <c r="N34" i="23"/>
  <c r="K34" i="23"/>
  <c r="K38" i="23" s="1"/>
  <c r="H34" i="23"/>
  <c r="H38" i="23" s="1"/>
  <c r="E34" i="23"/>
  <c r="E38" i="23" s="1"/>
  <c r="K14" i="23"/>
  <c r="K26" i="23" s="1"/>
  <c r="E14" i="23"/>
  <c r="E26" i="23" s="1"/>
  <c r="M66" i="22"/>
  <c r="M50" i="22"/>
  <c r="M31" i="22"/>
  <c r="M24" i="22"/>
  <c r="M23" i="22"/>
  <c r="M21" i="22"/>
  <c r="M20" i="22"/>
  <c r="M13" i="22"/>
  <c r="M10" i="22"/>
  <c r="M9" i="22"/>
  <c r="M8" i="22"/>
  <c r="J66" i="22"/>
  <c r="J50" i="22"/>
  <c r="J31" i="22"/>
  <c r="J24" i="22"/>
  <c r="J23" i="22"/>
  <c r="J21" i="22"/>
  <c r="J20" i="22"/>
  <c r="J13" i="22"/>
  <c r="J10" i="22"/>
  <c r="J9" i="22"/>
  <c r="J8" i="22"/>
  <c r="G66" i="22"/>
  <c r="G50" i="22"/>
  <c r="G31" i="22"/>
  <c r="G24" i="22"/>
  <c r="G23" i="22"/>
  <c r="G21" i="22"/>
  <c r="G20" i="22"/>
  <c r="G13" i="22"/>
  <c r="G10" i="22"/>
  <c r="G9" i="22"/>
  <c r="G8" i="22"/>
  <c r="D66" i="22"/>
  <c r="D50" i="22"/>
  <c r="D31" i="22"/>
  <c r="D24" i="22"/>
  <c r="D23" i="22"/>
  <c r="D21" i="22"/>
  <c r="D20" i="22"/>
  <c r="D13" i="22"/>
  <c r="D10" i="22"/>
  <c r="D9" i="22"/>
  <c r="D8" i="22"/>
  <c r="C66" i="22"/>
  <c r="C65" i="22"/>
  <c r="C64" i="22"/>
  <c r="C63" i="22"/>
  <c r="C44" i="22"/>
  <c r="C45" i="22"/>
  <c r="C46" i="22"/>
  <c r="C47" i="22"/>
  <c r="C48" i="22"/>
  <c r="C50" i="22"/>
  <c r="C51" i="22"/>
  <c r="C52" i="22"/>
  <c r="C43" i="22"/>
  <c r="C39" i="22"/>
  <c r="C38" i="22"/>
  <c r="C34" i="22"/>
  <c r="C31" i="22"/>
  <c r="C30" i="22"/>
  <c r="C29" i="22"/>
  <c r="C24" i="22"/>
  <c r="C23" i="22"/>
  <c r="C22" i="22"/>
  <c r="C21" i="22"/>
  <c r="C20" i="22"/>
  <c r="C19" i="22"/>
  <c r="C18" i="22"/>
  <c r="C17" i="22"/>
  <c r="C16" i="22"/>
  <c r="C13" i="22"/>
  <c r="C12" i="22"/>
  <c r="C11" i="22"/>
  <c r="C10" i="22"/>
  <c r="C9" i="22"/>
  <c r="C8" i="22"/>
  <c r="C7" i="22"/>
  <c r="C6" i="22"/>
  <c r="C5" i="22"/>
  <c r="C4" i="22"/>
  <c r="O61" i="22"/>
  <c r="O53" i="22"/>
  <c r="L53" i="22"/>
  <c r="I53" i="22"/>
  <c r="F53" i="22"/>
  <c r="F67" i="22" s="1"/>
  <c r="L40" i="22"/>
  <c r="I40" i="22"/>
  <c r="F40" i="22"/>
  <c r="O33" i="22"/>
  <c r="L35" i="22"/>
  <c r="I35" i="22"/>
  <c r="F35" i="22"/>
  <c r="L14" i="22"/>
  <c r="L25" i="22" s="1"/>
  <c r="F14" i="22"/>
  <c r="F25" i="22" s="1"/>
  <c r="R58" i="6"/>
  <c r="R57" i="6"/>
  <c r="Q85" i="6"/>
  <c r="D64" i="22" s="1"/>
  <c r="Q84" i="6"/>
  <c r="U84" i="6" s="1"/>
  <c r="Q77" i="6"/>
  <c r="U77" i="6" s="1"/>
  <c r="Q69" i="6"/>
  <c r="D51" i="22" s="1"/>
  <c r="N58" i="6"/>
  <c r="N57" i="6"/>
  <c r="Q35" i="6"/>
  <c r="D19" i="22" s="1"/>
  <c r="Q38" i="6"/>
  <c r="U38" i="6" s="1"/>
  <c r="Q28" i="6"/>
  <c r="U28" i="6" s="1"/>
  <c r="Q23" i="6"/>
  <c r="D7" i="22" s="1"/>
  <c r="Q22" i="6"/>
  <c r="D6" i="22" s="1"/>
  <c r="Q21" i="6"/>
  <c r="D5" i="22" s="1"/>
  <c r="C58" i="22"/>
  <c r="M72" i="6"/>
  <c r="M73" i="6" s="1"/>
  <c r="M59" i="6"/>
  <c r="M30" i="6"/>
  <c r="M41" i="6" s="1"/>
  <c r="M42" i="6" s="1"/>
  <c r="I81" i="6"/>
  <c r="I72" i="6"/>
  <c r="I59" i="6"/>
  <c r="I50" i="6"/>
  <c r="I53" i="6" s="1"/>
  <c r="I30" i="6"/>
  <c r="I41" i="6" s="1"/>
  <c r="M21" i="8"/>
  <c r="B30" i="6"/>
  <c r="C33" i="22" l="1"/>
  <c r="C35" i="22" s="1"/>
  <c r="J454" i="29" s="1"/>
  <c r="U35" i="6"/>
  <c r="Y35" i="6" s="1"/>
  <c r="D63" i="22"/>
  <c r="C61" i="22"/>
  <c r="M53" i="6"/>
  <c r="M54" i="6" s="1"/>
  <c r="U85" i="6"/>
  <c r="G63" i="22"/>
  <c r="Y84" i="6"/>
  <c r="Y77" i="6"/>
  <c r="G57" i="22"/>
  <c r="Q78" i="6"/>
  <c r="D57" i="22"/>
  <c r="G19" i="22"/>
  <c r="M81" i="6"/>
  <c r="M82" i="6" s="1"/>
  <c r="C67" i="23"/>
  <c r="C68" i="23"/>
  <c r="B67" i="23"/>
  <c r="B68" i="23"/>
  <c r="U69" i="6"/>
  <c r="Y69" i="6" s="1"/>
  <c r="AC69" i="6" s="1"/>
  <c r="M51" i="22" s="1"/>
  <c r="Y38" i="6"/>
  <c r="G22" i="22"/>
  <c r="D22" i="22"/>
  <c r="J19" i="22"/>
  <c r="AC35" i="6"/>
  <c r="M19" i="22" s="1"/>
  <c r="G12" i="22"/>
  <c r="Y28" i="6"/>
  <c r="D12" i="22"/>
  <c r="C7" i="23"/>
  <c r="U23" i="6"/>
  <c r="C6" i="23"/>
  <c r="U22" i="6"/>
  <c r="U21" i="6"/>
  <c r="B6" i="23"/>
  <c r="N21" i="22"/>
  <c r="B7" i="23"/>
  <c r="N71" i="23"/>
  <c r="E71" i="23"/>
  <c r="H71" i="23"/>
  <c r="N10" i="22"/>
  <c r="N20" i="22"/>
  <c r="K71" i="23"/>
  <c r="K10" i="22"/>
  <c r="H10" i="22"/>
  <c r="I67" i="22"/>
  <c r="E51" i="22"/>
  <c r="E10" i="22"/>
  <c r="C14" i="22"/>
  <c r="E50" i="22"/>
  <c r="E5" i="22"/>
  <c r="C40" i="22"/>
  <c r="C41" i="22" s="1"/>
  <c r="L67" i="22"/>
  <c r="C53" i="22"/>
  <c r="C54" i="22" s="1"/>
  <c r="O67" i="22"/>
  <c r="I88" i="6"/>
  <c r="I91" i="6" s="1"/>
  <c r="I101" i="6" s="1"/>
  <c r="I103" i="6" s="1"/>
  <c r="B41" i="6"/>
  <c r="C67" i="22" l="1"/>
  <c r="J1091" i="29" s="1"/>
  <c r="N19" i="22"/>
  <c r="F67" i="23"/>
  <c r="G67" i="23" s="1"/>
  <c r="G51" i="22"/>
  <c r="J51" i="22"/>
  <c r="M88" i="6"/>
  <c r="M89" i="6" s="1"/>
  <c r="Y85" i="6"/>
  <c r="G64" i="22"/>
  <c r="D58" i="22"/>
  <c r="U78" i="6"/>
  <c r="E57" i="22"/>
  <c r="AC84" i="6"/>
  <c r="M63" i="22" s="1"/>
  <c r="J63" i="22"/>
  <c r="J57" i="22"/>
  <c r="AC77" i="6"/>
  <c r="M57" i="22" s="1"/>
  <c r="D67" i="23"/>
  <c r="D68" i="23"/>
  <c r="E22" i="22"/>
  <c r="H22" i="22"/>
  <c r="AC38" i="6"/>
  <c r="M22" i="22" s="1"/>
  <c r="J22" i="22"/>
  <c r="AC28" i="6"/>
  <c r="M12" i="22" s="1"/>
  <c r="J12" i="22"/>
  <c r="G7" i="22"/>
  <c r="Y23" i="6"/>
  <c r="G6" i="22"/>
  <c r="Y22" i="6"/>
  <c r="Y21" i="6"/>
  <c r="G5" i="22"/>
  <c r="C36" i="22"/>
  <c r="C25" i="22"/>
  <c r="H57" i="22"/>
  <c r="H50" i="22"/>
  <c r="C26" i="22" l="1"/>
  <c r="J98" i="29"/>
  <c r="J1093" i="29"/>
  <c r="K51" i="22"/>
  <c r="N51" i="22"/>
  <c r="H51" i="22"/>
  <c r="M91" i="6"/>
  <c r="M94" i="6"/>
  <c r="F68" i="23"/>
  <c r="G68" i="23" s="1"/>
  <c r="AC85" i="6"/>
  <c r="M64" i="22" s="1"/>
  <c r="J64" i="22"/>
  <c r="N57" i="22"/>
  <c r="K57" i="22"/>
  <c r="I67" i="23"/>
  <c r="Y78" i="6"/>
  <c r="G58" i="22"/>
  <c r="L67" i="23"/>
  <c r="E58" i="22"/>
  <c r="N22" i="22"/>
  <c r="K22" i="22"/>
  <c r="AC23" i="6"/>
  <c r="M7" i="22" s="1"/>
  <c r="J7" i="22"/>
  <c r="F7" i="23"/>
  <c r="J6" i="22"/>
  <c r="AC22" i="6"/>
  <c r="M6" i="22" s="1"/>
  <c r="F6" i="23"/>
  <c r="H5" i="22"/>
  <c r="J5" i="22"/>
  <c r="AC21" i="6"/>
  <c r="M5" i="22" s="1"/>
  <c r="C70" i="22"/>
  <c r="C80" i="22" s="1"/>
  <c r="N50" i="22"/>
  <c r="K50" i="22"/>
  <c r="M101" i="6" l="1"/>
  <c r="M103" i="6" s="1"/>
  <c r="L68" i="23"/>
  <c r="I68" i="23"/>
  <c r="H58" i="22"/>
  <c r="J58" i="22"/>
  <c r="AC78" i="6"/>
  <c r="M58" i="22" s="1"/>
  <c r="I7" i="23"/>
  <c r="L7" i="23"/>
  <c r="L6" i="23"/>
  <c r="I6" i="23"/>
  <c r="N5" i="22"/>
  <c r="K5" i="22"/>
  <c r="N58" i="22" l="1"/>
  <c r="K58" i="22"/>
  <c r="M66" i="11" l="1"/>
  <c r="M40" i="11"/>
  <c r="M32" i="11"/>
  <c r="J66" i="11"/>
  <c r="G66" i="11"/>
  <c r="G40" i="11"/>
  <c r="G32" i="11"/>
  <c r="D66" i="11"/>
  <c r="C66" i="11"/>
  <c r="B66" i="11"/>
  <c r="J14" i="11" l="1"/>
  <c r="J25" i="11" s="1"/>
  <c r="G35" i="11"/>
  <c r="G61" i="11"/>
  <c r="J53" i="11"/>
  <c r="M35" i="11"/>
  <c r="M61" i="11"/>
  <c r="C14" i="11"/>
  <c r="C40" i="11"/>
  <c r="C61" i="11"/>
  <c r="D53" i="11"/>
  <c r="D61" i="11"/>
  <c r="G14" i="11"/>
  <c r="M14" i="11"/>
  <c r="D32" i="11"/>
  <c r="D35" i="11" s="1"/>
  <c r="D40" i="11"/>
  <c r="G53" i="11"/>
  <c r="J32" i="11"/>
  <c r="J35" i="11" s="1"/>
  <c r="J40" i="11"/>
  <c r="J61" i="11"/>
  <c r="M53" i="11"/>
  <c r="M25" i="11"/>
  <c r="C53" i="11"/>
  <c r="D14" i="11"/>
  <c r="C32" i="11"/>
  <c r="C35" i="11" s="1"/>
  <c r="M66" i="19"/>
  <c r="M58" i="19"/>
  <c r="M57" i="19"/>
  <c r="M50" i="19"/>
  <c r="M49" i="19"/>
  <c r="M34" i="19"/>
  <c r="M31" i="19"/>
  <c r="M29" i="19"/>
  <c r="M13" i="19"/>
  <c r="M12" i="19"/>
  <c r="M10" i="19"/>
  <c r="M9" i="19"/>
  <c r="M8" i="19"/>
  <c r="J66" i="19"/>
  <c r="J58" i="19"/>
  <c r="J57" i="19"/>
  <c r="J50" i="19"/>
  <c r="J49" i="19"/>
  <c r="J34" i="19"/>
  <c r="J31" i="19"/>
  <c r="J29" i="19"/>
  <c r="J13" i="19"/>
  <c r="J12" i="19"/>
  <c r="J10" i="19"/>
  <c r="J9" i="19"/>
  <c r="J8" i="19"/>
  <c r="G66" i="19"/>
  <c r="G58" i="19"/>
  <c r="G57" i="19"/>
  <c r="G50" i="19"/>
  <c r="G49" i="19"/>
  <c r="G34" i="19"/>
  <c r="G31" i="19"/>
  <c r="G29" i="19"/>
  <c r="G13" i="19"/>
  <c r="G12" i="19"/>
  <c r="G10" i="19"/>
  <c r="G9" i="19"/>
  <c r="G8" i="19"/>
  <c r="D66" i="19"/>
  <c r="D58" i="19"/>
  <c r="D57" i="19"/>
  <c r="D50" i="19"/>
  <c r="D49" i="19"/>
  <c r="D34" i="19"/>
  <c r="D31" i="19"/>
  <c r="D29" i="19"/>
  <c r="D13" i="19"/>
  <c r="D12" i="19"/>
  <c r="D10" i="19"/>
  <c r="D9" i="19"/>
  <c r="D8" i="19"/>
  <c r="C66" i="19"/>
  <c r="C58" i="19"/>
  <c r="C57" i="19"/>
  <c r="C50" i="19"/>
  <c r="C49" i="19"/>
  <c r="C34" i="19"/>
  <c r="C31" i="19"/>
  <c r="C29" i="19"/>
  <c r="C13" i="19"/>
  <c r="C12" i="19"/>
  <c r="C10" i="19"/>
  <c r="C9" i="19"/>
  <c r="C8" i="19"/>
  <c r="B66" i="19"/>
  <c r="B65" i="19"/>
  <c r="B58" i="19"/>
  <c r="B57" i="19"/>
  <c r="B56" i="19"/>
  <c r="B51" i="19"/>
  <c r="B50" i="19"/>
  <c r="B49" i="19"/>
  <c r="B47" i="19"/>
  <c r="B46" i="19"/>
  <c r="B45" i="19"/>
  <c r="B44" i="19"/>
  <c r="B39" i="19"/>
  <c r="B34" i="19"/>
  <c r="B31" i="19"/>
  <c r="B30" i="19"/>
  <c r="B29" i="19"/>
  <c r="B8" i="19"/>
  <c r="B9" i="19"/>
  <c r="B10" i="19"/>
  <c r="B12" i="19"/>
  <c r="B13" i="19"/>
  <c r="O61" i="19"/>
  <c r="L61" i="19"/>
  <c r="I61" i="19"/>
  <c r="F61" i="19"/>
  <c r="O53" i="19"/>
  <c r="L53" i="19"/>
  <c r="I53" i="19"/>
  <c r="F53" i="19"/>
  <c r="O40" i="19"/>
  <c r="L40" i="19"/>
  <c r="I40" i="19"/>
  <c r="F40" i="19"/>
  <c r="O32" i="19"/>
  <c r="O35" i="19" s="1"/>
  <c r="L32" i="19"/>
  <c r="L35" i="19" s="1"/>
  <c r="I32" i="19"/>
  <c r="I35" i="19" s="1"/>
  <c r="F32" i="19"/>
  <c r="F35" i="19" s="1"/>
  <c r="O22" i="19"/>
  <c r="L22" i="19"/>
  <c r="I22" i="19"/>
  <c r="F22" i="19"/>
  <c r="O14" i="19"/>
  <c r="O25" i="19" s="1"/>
  <c r="L14" i="19"/>
  <c r="L25" i="19" s="1"/>
  <c r="I14" i="19"/>
  <c r="I25" i="19" s="1"/>
  <c r="F14" i="19"/>
  <c r="F25" i="19" l="1"/>
  <c r="K57" i="19"/>
  <c r="M67" i="11"/>
  <c r="G67" i="11"/>
  <c r="C25" i="11"/>
  <c r="G25" i="11"/>
  <c r="D25" i="11"/>
  <c r="J67" i="11"/>
  <c r="J69" i="11" s="1"/>
  <c r="J77" i="11" s="1"/>
  <c r="J79" i="11" s="1"/>
  <c r="N9" i="19"/>
  <c r="N19" i="19"/>
  <c r="E21" i="19"/>
  <c r="N58" i="19"/>
  <c r="H19" i="19"/>
  <c r="H29" i="19"/>
  <c r="N21" i="19"/>
  <c r="H20" i="19"/>
  <c r="K66" i="19"/>
  <c r="N13" i="19"/>
  <c r="E9" i="19"/>
  <c r="E66" i="19"/>
  <c r="N20" i="19"/>
  <c r="D67" i="11"/>
  <c r="M69" i="11"/>
  <c r="M77" i="11" s="1"/>
  <c r="M79" i="11" s="1"/>
  <c r="C67" i="11"/>
  <c r="N31" i="19"/>
  <c r="B32" i="19"/>
  <c r="B35" i="19" s="1"/>
  <c r="N34" i="19"/>
  <c r="N50" i="19"/>
  <c r="H66" i="19"/>
  <c r="H21" i="19"/>
  <c r="O67" i="19"/>
  <c r="O69" i="19" s="1"/>
  <c r="O77" i="19" s="1"/>
  <c r="O79" i="19" s="1"/>
  <c r="E20" i="19"/>
  <c r="E57" i="19"/>
  <c r="H31" i="19"/>
  <c r="H58" i="19"/>
  <c r="F67" i="19"/>
  <c r="K49" i="19"/>
  <c r="E49" i="19"/>
  <c r="H50" i="19"/>
  <c r="B61" i="19"/>
  <c r="K34" i="19"/>
  <c r="N29" i="19"/>
  <c r="K29" i="19"/>
  <c r="K20" i="19"/>
  <c r="K31" i="19"/>
  <c r="K50" i="19"/>
  <c r="K58" i="19"/>
  <c r="H34" i="19"/>
  <c r="E34" i="19"/>
  <c r="H49" i="19"/>
  <c r="E13" i="19"/>
  <c r="H57" i="19"/>
  <c r="N8" i="19"/>
  <c r="K8" i="19"/>
  <c r="N12" i="19"/>
  <c r="K12" i="19"/>
  <c r="K9" i="19"/>
  <c r="H9" i="19"/>
  <c r="N5" i="19"/>
  <c r="N10" i="19"/>
  <c r="K10" i="19"/>
  <c r="K13" i="19"/>
  <c r="H13" i="19"/>
  <c r="H8" i="19"/>
  <c r="E8" i="19"/>
  <c r="H10" i="19"/>
  <c r="E10" i="19"/>
  <c r="H12" i="19"/>
  <c r="E12" i="19"/>
  <c r="I67" i="19"/>
  <c r="K19" i="19"/>
  <c r="L67" i="19"/>
  <c r="L69" i="19" s="1"/>
  <c r="L77" i="19" s="1"/>
  <c r="L79" i="19" s="1"/>
  <c r="K21" i="19"/>
  <c r="E29" i="19"/>
  <c r="E31" i="19"/>
  <c r="E50" i="19"/>
  <c r="E58" i="19"/>
  <c r="E19" i="19"/>
  <c r="N49" i="19"/>
  <c r="N57" i="19"/>
  <c r="N66" i="19"/>
  <c r="D11" i="27"/>
  <c r="B61" i="23" l="1"/>
  <c r="F53" i="23"/>
  <c r="F32" i="23"/>
  <c r="I53" i="23"/>
  <c r="C69" i="11"/>
  <c r="C77" i="11" s="1"/>
  <c r="C79" i="11" s="1"/>
  <c r="G69" i="11"/>
  <c r="G77" i="11" s="1"/>
  <c r="G79" i="11" s="1"/>
  <c r="D69" i="11"/>
  <c r="D77" i="11" s="1"/>
  <c r="D79" i="11" s="1"/>
  <c r="I69" i="19"/>
  <c r="I77" i="19" s="1"/>
  <c r="I79" i="19" s="1"/>
  <c r="F69" i="19"/>
  <c r="F77" i="19" s="1"/>
  <c r="F79" i="19" s="1"/>
  <c r="M66" i="18"/>
  <c r="L70" i="23" s="1"/>
  <c r="M50" i="18"/>
  <c r="N50" i="18" s="1"/>
  <c r="M31" i="18"/>
  <c r="L32" i="23" s="1"/>
  <c r="M24" i="18"/>
  <c r="L25" i="23" s="1"/>
  <c r="M23" i="18"/>
  <c r="L24" i="23" s="1"/>
  <c r="M21" i="18"/>
  <c r="L22" i="23" s="1"/>
  <c r="M20" i="18"/>
  <c r="L21" i="23" s="1"/>
  <c r="M19" i="18"/>
  <c r="L20" i="23" s="1"/>
  <c r="M13" i="18"/>
  <c r="L13" i="23" s="1"/>
  <c r="M12" i="18"/>
  <c r="L12" i="23" s="1"/>
  <c r="M9" i="18"/>
  <c r="L9" i="23" s="1"/>
  <c r="M8" i="18"/>
  <c r="L8" i="23" s="1"/>
  <c r="M4" i="18"/>
  <c r="J66" i="18"/>
  <c r="I70" i="23" s="1"/>
  <c r="J50" i="18"/>
  <c r="J31" i="18"/>
  <c r="I32" i="23" s="1"/>
  <c r="J24" i="18"/>
  <c r="I25" i="23" s="1"/>
  <c r="J23" i="18"/>
  <c r="I24" i="23" s="1"/>
  <c r="J21" i="18"/>
  <c r="I22" i="23" s="1"/>
  <c r="J20" i="18"/>
  <c r="I21" i="23" s="1"/>
  <c r="J19" i="18"/>
  <c r="J13" i="18"/>
  <c r="I13" i="23" s="1"/>
  <c r="J12" i="18"/>
  <c r="I12" i="23" s="1"/>
  <c r="J9" i="18"/>
  <c r="I9" i="23" s="1"/>
  <c r="J8" i="18"/>
  <c r="I8" i="23" s="1"/>
  <c r="J4" i="18"/>
  <c r="G66" i="18"/>
  <c r="F70" i="23" s="1"/>
  <c r="G50" i="18"/>
  <c r="G31" i="18"/>
  <c r="G24" i="18"/>
  <c r="F25" i="23" s="1"/>
  <c r="G23" i="18"/>
  <c r="F24" i="23" s="1"/>
  <c r="G21" i="18"/>
  <c r="F22" i="23" s="1"/>
  <c r="G20" i="18"/>
  <c r="F21" i="23" s="1"/>
  <c r="G19" i="18"/>
  <c r="F20" i="23" s="1"/>
  <c r="G13" i="18"/>
  <c r="F13" i="23" s="1"/>
  <c r="G12" i="18"/>
  <c r="F12" i="23" s="1"/>
  <c r="G9" i="18"/>
  <c r="F9" i="23" s="1"/>
  <c r="G8" i="18"/>
  <c r="F8" i="23" s="1"/>
  <c r="G4" i="18"/>
  <c r="D66" i="18"/>
  <c r="D58" i="18"/>
  <c r="C61" i="23" s="1"/>
  <c r="D50" i="18"/>
  <c r="C53" i="23" s="1"/>
  <c r="D31" i="18"/>
  <c r="D24" i="18"/>
  <c r="C25" i="23" s="1"/>
  <c r="D23" i="18"/>
  <c r="C24" i="23" s="1"/>
  <c r="D21" i="18"/>
  <c r="C22" i="23" s="1"/>
  <c r="D20" i="18"/>
  <c r="C21" i="23" s="1"/>
  <c r="D19" i="18"/>
  <c r="C20" i="23" s="1"/>
  <c r="D13" i="18"/>
  <c r="C13" i="23" s="1"/>
  <c r="D12" i="18"/>
  <c r="C12" i="23" s="1"/>
  <c r="D9" i="18"/>
  <c r="C9" i="23" s="1"/>
  <c r="D8" i="18"/>
  <c r="C8" i="23" s="1"/>
  <c r="D4" i="18"/>
  <c r="C66" i="18"/>
  <c r="C58" i="18"/>
  <c r="C50" i="18"/>
  <c r="B53" i="23" s="1"/>
  <c r="C31" i="18"/>
  <c r="B32" i="23" s="1"/>
  <c r="C24" i="18"/>
  <c r="B25" i="23" s="1"/>
  <c r="C23" i="18"/>
  <c r="B24" i="23" s="1"/>
  <c r="C22" i="18"/>
  <c r="C21" i="18"/>
  <c r="B22" i="23" s="1"/>
  <c r="C20" i="18"/>
  <c r="B21" i="23" s="1"/>
  <c r="C19" i="18"/>
  <c r="B20" i="23" s="1"/>
  <c r="C13" i="18"/>
  <c r="B13" i="23" s="1"/>
  <c r="C12" i="18"/>
  <c r="B12" i="23" s="1"/>
  <c r="C9" i="18"/>
  <c r="B9" i="23" s="1"/>
  <c r="C8" i="18"/>
  <c r="B8" i="23" s="1"/>
  <c r="C5" i="18"/>
  <c r="C4" i="18"/>
  <c r="B65" i="18"/>
  <c r="B66" i="18"/>
  <c r="B57" i="18"/>
  <c r="B58" i="18"/>
  <c r="B59" i="18"/>
  <c r="B60" i="18"/>
  <c r="B56" i="18"/>
  <c r="B52" i="18"/>
  <c r="B51" i="18"/>
  <c r="B50" i="18"/>
  <c r="B49" i="18"/>
  <c r="B48" i="18"/>
  <c r="B47" i="18"/>
  <c r="B46" i="18"/>
  <c r="B45" i="18"/>
  <c r="B44" i="18"/>
  <c r="B43" i="18"/>
  <c r="B39" i="18"/>
  <c r="B38" i="18"/>
  <c r="B34" i="18"/>
  <c r="B31" i="18"/>
  <c r="B30" i="18"/>
  <c r="B29" i="18"/>
  <c r="B24" i="18"/>
  <c r="B23" i="18"/>
  <c r="B22" i="18"/>
  <c r="B21" i="18"/>
  <c r="B20" i="18"/>
  <c r="B19" i="18"/>
  <c r="B18" i="18"/>
  <c r="B17" i="18"/>
  <c r="B16" i="18"/>
  <c r="B5" i="18"/>
  <c r="B8" i="18"/>
  <c r="B9" i="18"/>
  <c r="B10" i="18"/>
  <c r="B11" i="18"/>
  <c r="B12" i="18"/>
  <c r="B13" i="18"/>
  <c r="B4" i="18"/>
  <c r="O61" i="18"/>
  <c r="L61" i="18"/>
  <c r="I61" i="18"/>
  <c r="F61" i="18"/>
  <c r="O53" i="18"/>
  <c r="L53" i="18"/>
  <c r="I53" i="18"/>
  <c r="F53" i="18"/>
  <c r="L40" i="18"/>
  <c r="I40" i="18"/>
  <c r="F40" i="18"/>
  <c r="O32" i="18"/>
  <c r="L32" i="18"/>
  <c r="L35" i="18" s="1"/>
  <c r="I32" i="18"/>
  <c r="I35" i="18" s="1"/>
  <c r="F32" i="18"/>
  <c r="F35" i="18" s="1"/>
  <c r="L14" i="18"/>
  <c r="L25" i="18" s="1"/>
  <c r="F14" i="18"/>
  <c r="F25" i="18" s="1"/>
  <c r="Z75" i="8"/>
  <c r="V75" i="8"/>
  <c r="Z72" i="8"/>
  <c r="V72" i="8"/>
  <c r="R75" i="8"/>
  <c r="N75" i="8"/>
  <c r="N72" i="8"/>
  <c r="Q73" i="8"/>
  <c r="U73" i="8" s="1"/>
  <c r="Y73" i="8" s="1"/>
  <c r="AC73" i="8" s="1"/>
  <c r="M58" i="18" s="1"/>
  <c r="L61" i="23" s="1"/>
  <c r="J75" i="8"/>
  <c r="M72" i="8"/>
  <c r="C57" i="18" s="1"/>
  <c r="B60" i="23" s="1"/>
  <c r="J72" i="8"/>
  <c r="J66" i="8"/>
  <c r="J64" i="8"/>
  <c r="M64" i="8" s="1"/>
  <c r="C49" i="18" s="1"/>
  <c r="B52" i="23" s="1"/>
  <c r="J63" i="8"/>
  <c r="J60" i="8"/>
  <c r="J54" i="8"/>
  <c r="J53" i="8"/>
  <c r="J49" i="8"/>
  <c r="M49" i="8" s="1"/>
  <c r="J45" i="8"/>
  <c r="J44" i="8"/>
  <c r="Q36" i="8"/>
  <c r="D22" i="18" s="1"/>
  <c r="M36" i="8"/>
  <c r="J30" i="8"/>
  <c r="J25" i="8"/>
  <c r="N49" i="8" l="1"/>
  <c r="C34" i="18"/>
  <c r="L53" i="23"/>
  <c r="M53" i="23" s="1"/>
  <c r="U36" i="8"/>
  <c r="Q64" i="8"/>
  <c r="N19" i="18"/>
  <c r="I20" i="23"/>
  <c r="J58" i="18"/>
  <c r="G58" i="18"/>
  <c r="F61" i="23" s="1"/>
  <c r="G61" i="23" s="1"/>
  <c r="G53" i="23"/>
  <c r="C70" i="23"/>
  <c r="B70" i="23"/>
  <c r="D17" i="27"/>
  <c r="J53" i="23"/>
  <c r="D61" i="23"/>
  <c r="D53" i="23"/>
  <c r="K9" i="18"/>
  <c r="K13" i="18"/>
  <c r="K23" i="18"/>
  <c r="N21" i="18"/>
  <c r="K21" i="18"/>
  <c r="H9" i="18"/>
  <c r="H13" i="18"/>
  <c r="H19" i="18"/>
  <c r="H23" i="18"/>
  <c r="H31" i="18"/>
  <c r="K20" i="18"/>
  <c r="N20" i="18"/>
  <c r="K31" i="18"/>
  <c r="K8" i="18"/>
  <c r="K58" i="18"/>
  <c r="E12" i="18"/>
  <c r="E22" i="18"/>
  <c r="K19" i="18"/>
  <c r="K12" i="18"/>
  <c r="K24" i="18"/>
  <c r="H20" i="18"/>
  <c r="H24" i="18"/>
  <c r="H21" i="18"/>
  <c r="K50" i="18"/>
  <c r="O67" i="18"/>
  <c r="E13" i="18"/>
  <c r="E23" i="18"/>
  <c r="H8" i="18"/>
  <c r="H12" i="18"/>
  <c r="H4" i="18"/>
  <c r="E9" i="18"/>
  <c r="E19" i="18"/>
  <c r="E8" i="18"/>
  <c r="E20" i="18"/>
  <c r="E24" i="18"/>
  <c r="E21" i="18"/>
  <c r="B14" i="18"/>
  <c r="B25" i="18" s="1"/>
  <c r="I67" i="18"/>
  <c r="B40" i="18"/>
  <c r="B53" i="18"/>
  <c r="B61" i="18"/>
  <c r="F67" i="18"/>
  <c r="E4" i="18"/>
  <c r="B32" i="18"/>
  <c r="B35" i="18" s="1"/>
  <c r="L67" i="18"/>
  <c r="Q72" i="8"/>
  <c r="M24" i="8"/>
  <c r="U72" i="8" l="1"/>
  <c r="D57" i="18"/>
  <c r="U64" i="8"/>
  <c r="D49" i="18"/>
  <c r="Q24" i="8"/>
  <c r="C10" i="18"/>
  <c r="N58" i="18"/>
  <c r="I61" i="23"/>
  <c r="G22" i="18"/>
  <c r="Y36" i="8"/>
  <c r="J17" i="27"/>
  <c r="E13" i="28"/>
  <c r="G17" i="27"/>
  <c r="C13" i="28"/>
  <c r="B67" i="18"/>
  <c r="B77" i="18" s="1"/>
  <c r="B79" i="18" s="1"/>
  <c r="O58" i="9"/>
  <c r="O62" i="9" s="1"/>
  <c r="L58" i="9"/>
  <c r="I58" i="9"/>
  <c r="F58" i="9"/>
  <c r="C58" i="9"/>
  <c r="M57" i="9"/>
  <c r="J57" i="9"/>
  <c r="G57" i="9"/>
  <c r="D57" i="9"/>
  <c r="E57" i="9" s="1"/>
  <c r="D56" i="9"/>
  <c r="E56" i="9" s="1"/>
  <c r="N55" i="9"/>
  <c r="K55" i="9"/>
  <c r="D54" i="9"/>
  <c r="B54" i="9"/>
  <c r="B58" i="9" s="1"/>
  <c r="O50" i="9"/>
  <c r="L50" i="9"/>
  <c r="I50" i="9"/>
  <c r="F50" i="9"/>
  <c r="N49" i="9"/>
  <c r="K49" i="9"/>
  <c r="D48" i="9"/>
  <c r="G48" i="9" s="1"/>
  <c r="J48" i="9" s="1"/>
  <c r="N47" i="9"/>
  <c r="K47" i="9"/>
  <c r="N46" i="9"/>
  <c r="K46" i="9"/>
  <c r="D46" i="9"/>
  <c r="H46" i="9" s="1"/>
  <c r="D45" i="9"/>
  <c r="E45" i="9" s="1"/>
  <c r="B45" i="9"/>
  <c r="N44" i="9"/>
  <c r="K44" i="9"/>
  <c r="N43" i="9"/>
  <c r="K43" i="9"/>
  <c r="D43" i="9"/>
  <c r="H43" i="9" s="1"/>
  <c r="N42" i="9"/>
  <c r="K42" i="9"/>
  <c r="E42" i="9"/>
  <c r="D42" i="9"/>
  <c r="H42" i="9" s="1"/>
  <c r="B42" i="9"/>
  <c r="B50" i="9" s="1"/>
  <c r="N41" i="9"/>
  <c r="K41" i="9"/>
  <c r="C40" i="9"/>
  <c r="C50" i="9" s="1"/>
  <c r="L37" i="9"/>
  <c r="I37" i="9"/>
  <c r="F37" i="9"/>
  <c r="B37" i="9"/>
  <c r="D36" i="9"/>
  <c r="E36" i="9" s="1"/>
  <c r="C35" i="9"/>
  <c r="C37" i="9" s="1"/>
  <c r="F32" i="9"/>
  <c r="F62" i="9" s="1"/>
  <c r="N31" i="9"/>
  <c r="K31" i="9"/>
  <c r="H31" i="9"/>
  <c r="E31" i="9"/>
  <c r="O30" i="9"/>
  <c r="M30" i="9"/>
  <c r="M32" i="9" s="1"/>
  <c r="L30" i="9"/>
  <c r="L32" i="9" s="1"/>
  <c r="J30" i="9"/>
  <c r="J32" i="9" s="1"/>
  <c r="I30" i="9"/>
  <c r="I32" i="9" s="1"/>
  <c r="G30" i="9"/>
  <c r="G32" i="9" s="1"/>
  <c r="F30" i="9"/>
  <c r="D30" i="9"/>
  <c r="D32" i="9" s="1"/>
  <c r="N28" i="9"/>
  <c r="K28" i="9"/>
  <c r="D28" i="9"/>
  <c r="H28" i="9" s="1"/>
  <c r="C28" i="9"/>
  <c r="C30" i="9" s="1"/>
  <c r="C32" i="9" s="1"/>
  <c r="B28" i="9"/>
  <c r="B30" i="9" s="1"/>
  <c r="B32" i="9" s="1"/>
  <c r="N27" i="9"/>
  <c r="N30" i="9" s="1"/>
  <c r="N32" i="9" s="1"/>
  <c r="K27" i="9"/>
  <c r="K30" i="9" s="1"/>
  <c r="K32" i="9" s="1"/>
  <c r="H27" i="9"/>
  <c r="H30" i="9" s="1"/>
  <c r="H32" i="9" s="1"/>
  <c r="E27" i="9"/>
  <c r="N20" i="9"/>
  <c r="K20" i="9"/>
  <c r="H20" i="9"/>
  <c r="E20" i="9"/>
  <c r="N19" i="9"/>
  <c r="N18" i="9"/>
  <c r="N17" i="9"/>
  <c r="N16" i="9"/>
  <c r="N15" i="9"/>
  <c r="J14" i="9"/>
  <c r="K14" i="9" s="1"/>
  <c r="H14" i="9"/>
  <c r="E14" i="9"/>
  <c r="C14" i="9"/>
  <c r="B14" i="9"/>
  <c r="L12" i="9"/>
  <c r="L23" i="9" s="1"/>
  <c r="G12" i="9"/>
  <c r="G23" i="9" s="1"/>
  <c r="F12" i="9"/>
  <c r="F23" i="9" s="1"/>
  <c r="D12" i="9"/>
  <c r="D23" i="9" s="1"/>
  <c r="K9" i="9"/>
  <c r="J9" i="9"/>
  <c r="M9" i="9" s="1"/>
  <c r="N9" i="9" s="1"/>
  <c r="H9" i="9"/>
  <c r="C9" i="9"/>
  <c r="C12" i="9" s="1"/>
  <c r="C23" i="9" s="1"/>
  <c r="B9" i="9"/>
  <c r="B12" i="9" s="1"/>
  <c r="K8" i="9"/>
  <c r="J8" i="9"/>
  <c r="M8" i="9" s="1"/>
  <c r="N8" i="9" s="1"/>
  <c r="H8" i="9"/>
  <c r="E8" i="9"/>
  <c r="J5" i="9"/>
  <c r="M5" i="9" s="1"/>
  <c r="H5" i="9"/>
  <c r="E5" i="9"/>
  <c r="C52" i="23" l="1"/>
  <c r="E49" i="18"/>
  <c r="M14" i="9"/>
  <c r="N14" i="9" s="1"/>
  <c r="G36" i="9"/>
  <c r="J36" i="9" s="1"/>
  <c r="K36" i="9" s="1"/>
  <c r="E48" i="9"/>
  <c r="H57" i="9"/>
  <c r="Y64" i="8"/>
  <c r="G49" i="18"/>
  <c r="B23" i="9"/>
  <c r="C62" i="9"/>
  <c r="B62" i="9"/>
  <c r="K57" i="9"/>
  <c r="I62" i="9"/>
  <c r="AC36" i="8"/>
  <c r="M22" i="18" s="1"/>
  <c r="J22" i="18"/>
  <c r="B10" i="23"/>
  <c r="C60" i="23"/>
  <c r="D60" i="23" s="1"/>
  <c r="E57" i="18"/>
  <c r="J61" i="23"/>
  <c r="M61" i="23"/>
  <c r="D40" i="9"/>
  <c r="D50" i="9" s="1"/>
  <c r="D58" i="9"/>
  <c r="G56" i="9"/>
  <c r="J56" i="9" s="1"/>
  <c r="N57" i="9"/>
  <c r="L62" i="9"/>
  <c r="F23" i="23"/>
  <c r="H22" i="18"/>
  <c r="U24" i="8"/>
  <c r="D10" i="18"/>
  <c r="Y72" i="8"/>
  <c r="G57" i="18"/>
  <c r="G13" i="28"/>
  <c r="M17" i="27"/>
  <c r="C64" i="9"/>
  <c r="K48" i="9"/>
  <c r="M48" i="9"/>
  <c r="N48" i="9" s="1"/>
  <c r="K56" i="9"/>
  <c r="M56" i="9"/>
  <c r="N56" i="9" s="1"/>
  <c r="M12" i="9"/>
  <c r="M23" i="9" s="1"/>
  <c r="N5" i="9"/>
  <c r="N12" i="9" s="1"/>
  <c r="N23" i="9" s="1"/>
  <c r="B64" i="9"/>
  <c r="B25" i="9"/>
  <c r="E9" i="9"/>
  <c r="E12" i="9" s="1"/>
  <c r="E23" i="9" s="1"/>
  <c r="E40" i="9"/>
  <c r="E43" i="9"/>
  <c r="E46" i="9"/>
  <c r="E54" i="9"/>
  <c r="E58" i="9" s="1"/>
  <c r="H56" i="9"/>
  <c r="K5" i="9"/>
  <c r="K12" i="9" s="1"/>
  <c r="K23" i="9" s="1"/>
  <c r="E28" i="9"/>
  <c r="E30" i="9" s="1"/>
  <c r="E32" i="9" s="1"/>
  <c r="D35" i="9"/>
  <c r="G40" i="9"/>
  <c r="G45" i="9"/>
  <c r="H48" i="9"/>
  <c r="G54" i="9"/>
  <c r="J12" i="9"/>
  <c r="J23" i="9" s="1"/>
  <c r="C10" i="23" l="1"/>
  <c r="D10" i="23" s="1"/>
  <c r="E10" i="18"/>
  <c r="L23" i="23"/>
  <c r="N22" i="18"/>
  <c r="AC64" i="8"/>
  <c r="M49" i="18" s="1"/>
  <c r="J49" i="18"/>
  <c r="AC72" i="8"/>
  <c r="M57" i="18" s="1"/>
  <c r="J57" i="18"/>
  <c r="F52" i="23"/>
  <c r="H49" i="18"/>
  <c r="M36" i="9"/>
  <c r="N36" i="9" s="1"/>
  <c r="Y24" i="8"/>
  <c r="G10" i="18"/>
  <c r="I23" i="23"/>
  <c r="K22" i="18"/>
  <c r="H36" i="9"/>
  <c r="F60" i="23"/>
  <c r="G60" i="23" s="1"/>
  <c r="H57" i="18"/>
  <c r="P17" i="27"/>
  <c r="H45" i="9"/>
  <c r="J45" i="9"/>
  <c r="H40" i="9"/>
  <c r="H50" i="9" s="1"/>
  <c r="G50" i="9"/>
  <c r="J40" i="9"/>
  <c r="G58" i="9"/>
  <c r="H54" i="9"/>
  <c r="H58" i="9" s="1"/>
  <c r="J54" i="9"/>
  <c r="E35" i="9"/>
  <c r="E37" i="9" s="1"/>
  <c r="E62" i="9" s="1"/>
  <c r="D37" i="9"/>
  <c r="D62" i="9" s="1"/>
  <c r="D64" i="9" s="1"/>
  <c r="G35" i="9"/>
  <c r="E50" i="9"/>
  <c r="L60" i="23" l="1"/>
  <c r="N57" i="18"/>
  <c r="I52" i="23"/>
  <c r="K49" i="18"/>
  <c r="F10" i="23"/>
  <c r="G10" i="23" s="1"/>
  <c r="H10" i="18"/>
  <c r="L52" i="23"/>
  <c r="N49" i="18"/>
  <c r="AC24" i="8"/>
  <c r="M10" i="18" s="1"/>
  <c r="J10" i="18"/>
  <c r="I60" i="23"/>
  <c r="J60" i="23" s="1"/>
  <c r="K57" i="18"/>
  <c r="J58" i="9"/>
  <c r="M54" i="9"/>
  <c r="K54" i="9"/>
  <c r="K58" i="9" s="1"/>
  <c r="G37" i="9"/>
  <c r="G62" i="9" s="1"/>
  <c r="G64" i="9" s="1"/>
  <c r="J35" i="9"/>
  <c r="H35" i="9"/>
  <c r="H37" i="9" s="1"/>
  <c r="H62" i="9" s="1"/>
  <c r="M45" i="9"/>
  <c r="N45" i="9" s="1"/>
  <c r="K45" i="9"/>
  <c r="M40" i="9"/>
  <c r="J50" i="9"/>
  <c r="K40" i="9"/>
  <c r="I10" i="23" l="1"/>
  <c r="J10" i="23" s="1"/>
  <c r="K10" i="18"/>
  <c r="L10" i="23"/>
  <c r="M10" i="23" s="1"/>
  <c r="N10" i="18"/>
  <c r="M60" i="23"/>
  <c r="K50" i="9"/>
  <c r="K62" i="9" s="1"/>
  <c r="N54" i="9"/>
  <c r="N58" i="9" s="1"/>
  <c r="M58" i="9"/>
  <c r="N40" i="9"/>
  <c r="N50" i="9" s="1"/>
  <c r="M50" i="9"/>
  <c r="K35" i="9"/>
  <c r="K37" i="9" s="1"/>
  <c r="J37" i="9"/>
  <c r="J62" i="9" s="1"/>
  <c r="J64" i="9" s="1"/>
  <c r="M35" i="9"/>
  <c r="M37" i="9" l="1"/>
  <c r="M62" i="9" s="1"/>
  <c r="M64" i="9" s="1"/>
  <c r="N35" i="9"/>
  <c r="N37" i="9" s="1"/>
  <c r="N62" i="9" s="1"/>
  <c r="O61" i="11" l="1"/>
  <c r="L61" i="11"/>
  <c r="I61" i="11"/>
  <c r="F61" i="11"/>
  <c r="E58" i="11"/>
  <c r="E56" i="11"/>
  <c r="O53" i="11"/>
  <c r="L53" i="11"/>
  <c r="I53" i="11"/>
  <c r="F53" i="11"/>
  <c r="O40" i="11"/>
  <c r="L40" i="11"/>
  <c r="I40" i="11"/>
  <c r="F40" i="11"/>
  <c r="I35" i="11"/>
  <c r="O32" i="11"/>
  <c r="O35" i="11" s="1"/>
  <c r="L32" i="11"/>
  <c r="L35" i="11" s="1"/>
  <c r="I32" i="11"/>
  <c r="F32" i="11"/>
  <c r="F35" i="11" s="1"/>
  <c r="O22" i="11"/>
  <c r="L22" i="11"/>
  <c r="I22" i="11"/>
  <c r="F22" i="11"/>
  <c r="O14" i="11"/>
  <c r="L14" i="11"/>
  <c r="I14" i="11"/>
  <c r="F14" i="11"/>
  <c r="G168" i="10"/>
  <c r="F168" i="10"/>
  <c r="E168" i="10"/>
  <c r="D168" i="10"/>
  <c r="C168" i="10"/>
  <c r="H167" i="10"/>
  <c r="H166" i="10"/>
  <c r="I162" i="10"/>
  <c r="I63" i="10" s="1"/>
  <c r="M63" i="10" s="1"/>
  <c r="Q63" i="10" s="1"/>
  <c r="U63" i="10" s="1"/>
  <c r="Y63" i="10" s="1"/>
  <c r="AC63" i="10" s="1"/>
  <c r="B162" i="10"/>
  <c r="B63" i="10" s="1"/>
  <c r="I156" i="10"/>
  <c r="B156" i="10"/>
  <c r="B60" i="10" s="1"/>
  <c r="I151" i="10"/>
  <c r="I74" i="10" s="1"/>
  <c r="M74" i="10" s="1"/>
  <c r="Q74" i="10" s="1"/>
  <c r="U74" i="10" s="1"/>
  <c r="Y74" i="10" s="1"/>
  <c r="AC74" i="10" s="1"/>
  <c r="B151" i="10"/>
  <c r="B146" i="10"/>
  <c r="B67" i="10" s="1"/>
  <c r="I141" i="10"/>
  <c r="I146" i="10" s="1"/>
  <c r="I67" i="10" s="1"/>
  <c r="M67" i="10" s="1"/>
  <c r="Q67" i="10" s="1"/>
  <c r="U67" i="10" s="1"/>
  <c r="Y67" i="10" s="1"/>
  <c r="AC67" i="10" s="1"/>
  <c r="I135" i="10"/>
  <c r="I58" i="10" s="1"/>
  <c r="M58" i="10" s="1"/>
  <c r="Q58" i="10" s="1"/>
  <c r="B135" i="10"/>
  <c r="B58" i="10" s="1"/>
  <c r="B131" i="10"/>
  <c r="I129" i="10"/>
  <c r="I131" i="10" s="1"/>
  <c r="I53" i="10" s="1"/>
  <c r="E126" i="10"/>
  <c r="D126" i="10"/>
  <c r="G125" i="10"/>
  <c r="E125" i="10"/>
  <c r="E127" i="10" s="1"/>
  <c r="D125" i="10"/>
  <c r="H124" i="10"/>
  <c r="H123" i="10"/>
  <c r="F122" i="10"/>
  <c r="F125" i="10" s="1"/>
  <c r="C122" i="10"/>
  <c r="C125" i="10" s="1"/>
  <c r="C121" i="10"/>
  <c r="H121" i="10" s="1"/>
  <c r="F110" i="10"/>
  <c r="H109" i="10"/>
  <c r="I109" i="10" s="1"/>
  <c r="H108" i="10"/>
  <c r="I108" i="10" s="1"/>
  <c r="I32" i="10" s="1"/>
  <c r="M32" i="10" s="1"/>
  <c r="Q32" i="10" s="1"/>
  <c r="U32" i="10" s="1"/>
  <c r="Y32" i="10" s="1"/>
  <c r="AC32" i="10" s="1"/>
  <c r="H107" i="10"/>
  <c r="I107" i="10" s="1"/>
  <c r="I31" i="10" s="1"/>
  <c r="M31" i="10" s="1"/>
  <c r="Q31" i="10" s="1"/>
  <c r="U31" i="10" s="1"/>
  <c r="Y31" i="10" s="1"/>
  <c r="AC31" i="10" s="1"/>
  <c r="I106" i="10"/>
  <c r="I25" i="10" s="1"/>
  <c r="M25" i="10" s="1"/>
  <c r="Q25" i="10" s="1"/>
  <c r="U25" i="10" s="1"/>
  <c r="Y25" i="10" s="1"/>
  <c r="AC25" i="10" s="1"/>
  <c r="H106" i="10"/>
  <c r="H105" i="10"/>
  <c r="I105" i="10" s="1"/>
  <c r="H104" i="10"/>
  <c r="I104" i="10" s="1"/>
  <c r="G103" i="10"/>
  <c r="G110" i="10" s="1"/>
  <c r="F103" i="10"/>
  <c r="D103" i="10"/>
  <c r="D110" i="10" s="1"/>
  <c r="C103" i="10"/>
  <c r="C110" i="10" s="1"/>
  <c r="B103" i="10"/>
  <c r="H100" i="10"/>
  <c r="I100" i="10" s="1"/>
  <c r="H99" i="10"/>
  <c r="I99" i="10" s="1"/>
  <c r="H98" i="10"/>
  <c r="I98" i="10" s="1"/>
  <c r="E97" i="10"/>
  <c r="Q78" i="10"/>
  <c r="M78" i="10"/>
  <c r="AA76" i="10"/>
  <c r="W76" i="10"/>
  <c r="S76" i="10"/>
  <c r="O76" i="10"/>
  <c r="K76" i="10"/>
  <c r="B76" i="10"/>
  <c r="M75" i="10"/>
  <c r="Q75" i="10" s="1"/>
  <c r="U75" i="10" s="1"/>
  <c r="Y75" i="10" s="1"/>
  <c r="AC75" i="10" s="1"/>
  <c r="I71" i="10"/>
  <c r="AA68" i="10"/>
  <c r="W68" i="10"/>
  <c r="S68" i="10"/>
  <c r="O68" i="10"/>
  <c r="O80" i="10" s="1"/>
  <c r="K68" i="10"/>
  <c r="M66" i="10"/>
  <c r="Q66" i="10" s="1"/>
  <c r="U66" i="10" s="1"/>
  <c r="Y66" i="10" s="1"/>
  <c r="AC66" i="10" s="1"/>
  <c r="I62" i="10"/>
  <c r="M62" i="10" s="1"/>
  <c r="Q62" i="10" s="1"/>
  <c r="U62" i="10" s="1"/>
  <c r="Y62" i="10" s="1"/>
  <c r="AC62" i="10" s="1"/>
  <c r="M61" i="10"/>
  <c r="Q61" i="10" s="1"/>
  <c r="U61" i="10" s="1"/>
  <c r="Y61" i="10" s="1"/>
  <c r="AC61" i="10" s="1"/>
  <c r="I60" i="10"/>
  <c r="M59" i="10"/>
  <c r="Q59" i="10" s="1"/>
  <c r="U59" i="10" s="1"/>
  <c r="Y59" i="10" s="1"/>
  <c r="AC59" i="10" s="1"/>
  <c r="AA55" i="10"/>
  <c r="W55" i="10"/>
  <c r="S55" i="10"/>
  <c r="O55" i="10"/>
  <c r="K55" i="10"/>
  <c r="B55" i="10"/>
  <c r="I54" i="10"/>
  <c r="M54" i="10" s="1"/>
  <c r="Q54" i="10" s="1"/>
  <c r="U54" i="10" s="1"/>
  <c r="Y54" i="10" s="1"/>
  <c r="AC54" i="10" s="1"/>
  <c r="W50" i="10"/>
  <c r="W80" i="10" s="1"/>
  <c r="AA47" i="10"/>
  <c r="AA50" i="10" s="1"/>
  <c r="W47" i="10"/>
  <c r="S47" i="10"/>
  <c r="S50" i="10" s="1"/>
  <c r="O47" i="10"/>
  <c r="O50" i="10" s="1"/>
  <c r="K47" i="10"/>
  <c r="K50" i="10" s="1"/>
  <c r="B47" i="10"/>
  <c r="B50" i="10" s="1"/>
  <c r="C49" i="10" s="1"/>
  <c r="B126" i="10" s="1"/>
  <c r="I38" i="10"/>
  <c r="B32" i="10"/>
  <c r="B36" i="10" s="1"/>
  <c r="B39" i="10" s="1"/>
  <c r="B28" i="10"/>
  <c r="G15" i="10"/>
  <c r="G17" i="10" s="1"/>
  <c r="F15" i="10"/>
  <c r="F17" i="10" s="1"/>
  <c r="E15" i="10"/>
  <c r="E17" i="10" s="1"/>
  <c r="D15" i="10"/>
  <c r="D17" i="10" s="1"/>
  <c r="C15" i="10"/>
  <c r="C17" i="10" s="1"/>
  <c r="H14" i="10"/>
  <c r="H13" i="10"/>
  <c r="H12" i="10"/>
  <c r="H11" i="10"/>
  <c r="H9" i="10"/>
  <c r="G169" i="8"/>
  <c r="F169" i="8"/>
  <c r="E169" i="8"/>
  <c r="D169" i="8"/>
  <c r="C169" i="8"/>
  <c r="H168" i="8"/>
  <c r="H167" i="8"/>
  <c r="I163" i="8"/>
  <c r="B163" i="8"/>
  <c r="I157" i="8"/>
  <c r="B157" i="8"/>
  <c r="I152" i="8"/>
  <c r="B152" i="8"/>
  <c r="B147" i="8"/>
  <c r="I142" i="8"/>
  <c r="I147" i="8" s="1"/>
  <c r="M67" i="8" s="1"/>
  <c r="I136" i="8"/>
  <c r="B136" i="8"/>
  <c r="B132" i="8"/>
  <c r="I130" i="8"/>
  <c r="I132" i="8" s="1"/>
  <c r="E127" i="8"/>
  <c r="D127" i="8"/>
  <c r="G126" i="8"/>
  <c r="E126" i="8"/>
  <c r="D126" i="8"/>
  <c r="D128" i="8" s="1"/>
  <c r="H125" i="8"/>
  <c r="H124" i="8"/>
  <c r="F123" i="8"/>
  <c r="F126" i="8" s="1"/>
  <c r="C122" i="8"/>
  <c r="C123" i="8" s="1"/>
  <c r="H110" i="8"/>
  <c r="I110" i="8" s="1"/>
  <c r="H109" i="8"/>
  <c r="I109" i="8" s="1"/>
  <c r="M32" i="8" s="1"/>
  <c r="H108" i="8"/>
  <c r="I108" i="8" s="1"/>
  <c r="M31" i="8" s="1"/>
  <c r="H107" i="8"/>
  <c r="I107" i="8" s="1"/>
  <c r="H106" i="8"/>
  <c r="I106" i="8" s="1"/>
  <c r="H105" i="8"/>
  <c r="I105" i="8" s="1"/>
  <c r="G104" i="8"/>
  <c r="G111" i="8" s="1"/>
  <c r="F104" i="8"/>
  <c r="F111" i="8" s="1"/>
  <c r="D104" i="8"/>
  <c r="D111" i="8" s="1"/>
  <c r="C104" i="8"/>
  <c r="B104" i="8"/>
  <c r="H101" i="8"/>
  <c r="I101" i="8" s="1"/>
  <c r="H100" i="8"/>
  <c r="I100" i="8" s="1"/>
  <c r="H99" i="8"/>
  <c r="I99" i="8" s="1"/>
  <c r="E98" i="8"/>
  <c r="E104" i="8" s="1"/>
  <c r="E111" i="8" s="1"/>
  <c r="M78" i="8"/>
  <c r="AA76" i="8"/>
  <c r="W76" i="8"/>
  <c r="S76" i="8"/>
  <c r="O76" i="8"/>
  <c r="K76" i="8"/>
  <c r="B76" i="8"/>
  <c r="M75" i="8"/>
  <c r="M74" i="8"/>
  <c r="AA68" i="8"/>
  <c r="W68" i="8"/>
  <c r="S68" i="8"/>
  <c r="O68" i="8"/>
  <c r="K68" i="8"/>
  <c r="M66" i="8"/>
  <c r="M63" i="8"/>
  <c r="M62" i="8"/>
  <c r="M61" i="8"/>
  <c r="M60" i="8"/>
  <c r="M59" i="8"/>
  <c r="M58" i="8"/>
  <c r="C43" i="18" s="1"/>
  <c r="AA55" i="8"/>
  <c r="W55" i="8"/>
  <c r="S55" i="8"/>
  <c r="O55" i="8"/>
  <c r="K55" i="8"/>
  <c r="B55" i="8"/>
  <c r="M54" i="8"/>
  <c r="AA47" i="8"/>
  <c r="AA50" i="8" s="1"/>
  <c r="W47" i="8"/>
  <c r="W50" i="8" s="1"/>
  <c r="W80" i="8" s="1"/>
  <c r="S47" i="8"/>
  <c r="S50" i="8" s="1"/>
  <c r="O47" i="8"/>
  <c r="O50" i="8" s="1"/>
  <c r="K47" i="8"/>
  <c r="K50" i="8" s="1"/>
  <c r="B47" i="8"/>
  <c r="B50" i="8" s="1"/>
  <c r="C49" i="8" s="1"/>
  <c r="B127" i="8" s="1"/>
  <c r="M45" i="8"/>
  <c r="B28" i="8"/>
  <c r="B39" i="8" s="1"/>
  <c r="M25" i="8"/>
  <c r="G15" i="8"/>
  <c r="G17" i="8" s="1"/>
  <c r="F15" i="8"/>
  <c r="F17" i="8" s="1"/>
  <c r="E15" i="8"/>
  <c r="E17" i="8" s="1"/>
  <c r="D15" i="8"/>
  <c r="D17" i="8" s="1"/>
  <c r="C15" i="8"/>
  <c r="C17" i="8" s="1"/>
  <c r="H14" i="8"/>
  <c r="H13" i="8"/>
  <c r="H12" i="8"/>
  <c r="H11" i="8"/>
  <c r="H9" i="8"/>
  <c r="B72" i="6"/>
  <c r="AA81" i="6"/>
  <c r="W81" i="6"/>
  <c r="S81" i="6"/>
  <c r="O81" i="6"/>
  <c r="K81" i="6"/>
  <c r="B81" i="6"/>
  <c r="AA72" i="6"/>
  <c r="W72" i="6"/>
  <c r="S72" i="6"/>
  <c r="O72" i="6"/>
  <c r="K72" i="6"/>
  <c r="AA59" i="6"/>
  <c r="W59" i="6"/>
  <c r="S59" i="6"/>
  <c r="O59" i="6"/>
  <c r="K59" i="6"/>
  <c r="B59" i="6"/>
  <c r="AA50" i="6"/>
  <c r="AA53" i="6" s="1"/>
  <c r="W50" i="6"/>
  <c r="W53" i="6" s="1"/>
  <c r="S50" i="6"/>
  <c r="S53" i="6" s="1"/>
  <c r="O50" i="6"/>
  <c r="O53" i="6" s="1"/>
  <c r="K50" i="6"/>
  <c r="K53" i="6" s="1"/>
  <c r="B50" i="6"/>
  <c r="B53" i="6" s="1"/>
  <c r="G15" i="6"/>
  <c r="G17" i="6" s="1"/>
  <c r="F15" i="6"/>
  <c r="F17" i="6" s="1"/>
  <c r="E15" i="6"/>
  <c r="E17" i="6" s="1"/>
  <c r="D15" i="6"/>
  <c r="D17" i="6" s="1"/>
  <c r="C15" i="6"/>
  <c r="C17" i="6" s="1"/>
  <c r="H14" i="6"/>
  <c r="H13" i="6"/>
  <c r="H12" i="6"/>
  <c r="H11" i="6"/>
  <c r="H9" i="6"/>
  <c r="B48" i="19"/>
  <c r="B43" i="19"/>
  <c r="B38" i="19"/>
  <c r="C46" i="19"/>
  <c r="C44" i="19"/>
  <c r="I76" i="10" l="1"/>
  <c r="Q54" i="8"/>
  <c r="C39" i="18"/>
  <c r="Q59" i="8"/>
  <c r="C44" i="18"/>
  <c r="C53" i="18" s="1"/>
  <c r="Q75" i="8"/>
  <c r="C60" i="18"/>
  <c r="H123" i="8"/>
  <c r="M71" i="10"/>
  <c r="Q71" i="10" s="1"/>
  <c r="Q76" i="10" s="1"/>
  <c r="Q45" i="8"/>
  <c r="N45" i="8"/>
  <c r="C30" i="18"/>
  <c r="Q60" i="8"/>
  <c r="C45" i="18"/>
  <c r="Q66" i="8"/>
  <c r="C51" i="18"/>
  <c r="H98" i="8"/>
  <c r="I98" i="8" s="1"/>
  <c r="Q67" i="8"/>
  <c r="C52" i="18"/>
  <c r="H15" i="10"/>
  <c r="I30" i="10"/>
  <c r="B16" i="11" s="1"/>
  <c r="H122" i="10"/>
  <c r="I122" i="10" s="1"/>
  <c r="I45" i="10" s="1"/>
  <c r="M45" i="10" s="1"/>
  <c r="Q45" i="10" s="1"/>
  <c r="U45" i="10" s="1"/>
  <c r="Y45" i="10" s="1"/>
  <c r="AC45" i="10" s="1"/>
  <c r="D127" i="10"/>
  <c r="B68" i="10"/>
  <c r="Q25" i="8"/>
  <c r="C11" i="18"/>
  <c r="C14" i="18" s="1"/>
  <c r="Q62" i="8"/>
  <c r="C47" i="18"/>
  <c r="Q74" i="8"/>
  <c r="C59" i="18"/>
  <c r="Q78" i="8"/>
  <c r="C65" i="18"/>
  <c r="Q31" i="8"/>
  <c r="C17" i="18"/>
  <c r="Q63" i="8"/>
  <c r="C48" i="18"/>
  <c r="S80" i="8"/>
  <c r="Q32" i="8"/>
  <c r="C18" i="18"/>
  <c r="E128" i="8"/>
  <c r="H17" i="10"/>
  <c r="Q61" i="8"/>
  <c r="C46" i="18"/>
  <c r="C65" i="19"/>
  <c r="W88" i="6"/>
  <c r="B88" i="6"/>
  <c r="Q86" i="6"/>
  <c r="C52" i="6"/>
  <c r="Q58" i="6"/>
  <c r="D39" i="22" s="1"/>
  <c r="Q66" i="6"/>
  <c r="D47" i="22" s="1"/>
  <c r="AA88" i="6"/>
  <c r="Q70" i="6"/>
  <c r="D52" i="22" s="1"/>
  <c r="Q79" i="6"/>
  <c r="Q63" i="6"/>
  <c r="D44" i="22" s="1"/>
  <c r="Q65" i="6"/>
  <c r="D46" i="22" s="1"/>
  <c r="Q80" i="6"/>
  <c r="Q64" i="6"/>
  <c r="D45" i="22" s="1"/>
  <c r="Q67" i="6"/>
  <c r="D48" i="22" s="1"/>
  <c r="H15" i="6"/>
  <c r="H17" i="6" s="1"/>
  <c r="B52" i="19"/>
  <c r="B53" i="19" s="1"/>
  <c r="C48" i="19"/>
  <c r="B40" i="19"/>
  <c r="B11" i="19"/>
  <c r="C39" i="19"/>
  <c r="C59" i="19"/>
  <c r="C47" i="19"/>
  <c r="C60" i="19"/>
  <c r="C45" i="19"/>
  <c r="C51" i="19"/>
  <c r="L25" i="11"/>
  <c r="N34" i="11"/>
  <c r="I25" i="11"/>
  <c r="K57" i="11"/>
  <c r="K17" i="11"/>
  <c r="F25" i="11"/>
  <c r="F67" i="11"/>
  <c r="H10" i="11"/>
  <c r="N18" i="11"/>
  <c r="H30" i="11"/>
  <c r="K38" i="11"/>
  <c r="E44" i="11"/>
  <c r="K45" i="11"/>
  <c r="H18" i="11"/>
  <c r="H46" i="11"/>
  <c r="H57" i="11"/>
  <c r="K59" i="11"/>
  <c r="E60" i="11"/>
  <c r="E5" i="11"/>
  <c r="E9" i="11"/>
  <c r="N11" i="11"/>
  <c r="H12" i="11"/>
  <c r="E18" i="11"/>
  <c r="E31" i="11"/>
  <c r="N17" i="11"/>
  <c r="N4" i="11"/>
  <c r="H19" i="11"/>
  <c r="E4" i="11"/>
  <c r="H17" i="11"/>
  <c r="K34" i="11"/>
  <c r="H4" i="11"/>
  <c r="H8" i="11"/>
  <c r="K18" i="11"/>
  <c r="E19" i="11"/>
  <c r="H15" i="8"/>
  <c r="H17" i="8" s="1"/>
  <c r="H122" i="8"/>
  <c r="I123" i="8" s="1"/>
  <c r="C126" i="8"/>
  <c r="N8" i="11"/>
  <c r="N13" i="11"/>
  <c r="N31" i="11"/>
  <c r="H38" i="11"/>
  <c r="N65" i="11"/>
  <c r="N5" i="11"/>
  <c r="E10" i="11"/>
  <c r="N10" i="11"/>
  <c r="E13" i="11"/>
  <c r="N19" i="11"/>
  <c r="B53" i="11"/>
  <c r="K43" i="11"/>
  <c r="E46" i="11"/>
  <c r="E57" i="11"/>
  <c r="E59" i="11"/>
  <c r="K66" i="11"/>
  <c r="E8" i="11"/>
  <c r="E11" i="11"/>
  <c r="K19" i="11"/>
  <c r="H66" i="11"/>
  <c r="N9" i="11"/>
  <c r="E12" i="11"/>
  <c r="N12" i="11"/>
  <c r="H21" i="11"/>
  <c r="K31" i="11"/>
  <c r="E34" i="11"/>
  <c r="N58" i="11"/>
  <c r="H59" i="11"/>
  <c r="N60" i="11"/>
  <c r="H11" i="11"/>
  <c r="K11" i="11"/>
  <c r="N30" i="11"/>
  <c r="K30" i="11"/>
  <c r="H13" i="11"/>
  <c r="K13" i="11"/>
  <c r="K5" i="11"/>
  <c r="H9" i="11"/>
  <c r="K9" i="11"/>
  <c r="B40" i="11"/>
  <c r="K8" i="11"/>
  <c r="K10" i="11"/>
  <c r="K12" i="11"/>
  <c r="E17" i="11"/>
  <c r="E20" i="11"/>
  <c r="N20" i="11"/>
  <c r="E38" i="11"/>
  <c r="N39" i="11"/>
  <c r="N45" i="11"/>
  <c r="N46" i="11"/>
  <c r="E48" i="11"/>
  <c r="N48" i="11"/>
  <c r="E50" i="11"/>
  <c r="N50" i="11"/>
  <c r="E52" i="11"/>
  <c r="N52" i="11"/>
  <c r="H58" i="11"/>
  <c r="H60" i="11"/>
  <c r="N21" i="11"/>
  <c r="B32" i="11"/>
  <c r="B35" i="11" s="1"/>
  <c r="H39" i="11"/>
  <c r="H43" i="11"/>
  <c r="K44" i="11"/>
  <c r="B61" i="11"/>
  <c r="K20" i="11"/>
  <c r="K21" i="11"/>
  <c r="N38" i="11"/>
  <c r="E39" i="11"/>
  <c r="H45" i="11"/>
  <c r="E65" i="11"/>
  <c r="N47" i="11"/>
  <c r="K47" i="11"/>
  <c r="N51" i="11"/>
  <c r="K51" i="11"/>
  <c r="E21" i="11"/>
  <c r="N29" i="11"/>
  <c r="E30" i="11"/>
  <c r="O67" i="11"/>
  <c r="E43" i="11"/>
  <c r="H56" i="11"/>
  <c r="N57" i="11"/>
  <c r="N59" i="11"/>
  <c r="N49" i="11"/>
  <c r="K49" i="11"/>
  <c r="L67" i="11"/>
  <c r="L69" i="11" s="1"/>
  <c r="L77" i="11" s="1"/>
  <c r="L79" i="11" s="1"/>
  <c r="K29" i="11"/>
  <c r="N44" i="11"/>
  <c r="E45" i="11"/>
  <c r="K48" i="11"/>
  <c r="H48" i="11"/>
  <c r="K50" i="11"/>
  <c r="H50" i="11"/>
  <c r="K52" i="11"/>
  <c r="H52" i="11"/>
  <c r="H65" i="11"/>
  <c r="K4" i="11"/>
  <c r="H5" i="11"/>
  <c r="H20" i="11"/>
  <c r="H29" i="11"/>
  <c r="H31" i="11"/>
  <c r="H34" i="11"/>
  <c r="K39" i="11"/>
  <c r="K40" i="11" s="1"/>
  <c r="H44" i="11"/>
  <c r="K46" i="11"/>
  <c r="H47" i="11"/>
  <c r="E47" i="11"/>
  <c r="H49" i="11"/>
  <c r="E49" i="11"/>
  <c r="H51" i="11"/>
  <c r="E51" i="11"/>
  <c r="K56" i="11"/>
  <c r="K58" i="11"/>
  <c r="K60" i="11"/>
  <c r="K65" i="11"/>
  <c r="E66" i="11"/>
  <c r="B14" i="11"/>
  <c r="O25" i="11"/>
  <c r="E29" i="11"/>
  <c r="N43" i="11"/>
  <c r="N56" i="11"/>
  <c r="I67" i="11"/>
  <c r="N66" i="11"/>
  <c r="F126" i="10"/>
  <c r="F127" i="10" s="1"/>
  <c r="C126" i="10"/>
  <c r="G126" i="10"/>
  <c r="G127" i="10" s="1"/>
  <c r="I55" i="10"/>
  <c r="M53" i="10"/>
  <c r="U58" i="10"/>
  <c r="U71" i="10"/>
  <c r="M76" i="10"/>
  <c r="I68" i="10"/>
  <c r="M60" i="10"/>
  <c r="Q60" i="10" s="1"/>
  <c r="U60" i="10" s="1"/>
  <c r="Y60" i="10" s="1"/>
  <c r="AC60" i="10" s="1"/>
  <c r="B80" i="10"/>
  <c r="B82" i="10" s="1"/>
  <c r="B92" i="10" s="1"/>
  <c r="B94" i="10" s="1"/>
  <c r="S80" i="10"/>
  <c r="H97" i="10"/>
  <c r="I97" i="10" s="1"/>
  <c r="E103" i="10"/>
  <c r="E110" i="10" s="1"/>
  <c r="AA80" i="10"/>
  <c r="U78" i="10"/>
  <c r="K80" i="10"/>
  <c r="H168" i="10"/>
  <c r="M30" i="8"/>
  <c r="C16" i="18" s="1"/>
  <c r="F127" i="8"/>
  <c r="F128" i="8" s="1"/>
  <c r="G127" i="8"/>
  <c r="G128" i="8" s="1"/>
  <c r="Q58" i="8"/>
  <c r="D43" i="18" s="1"/>
  <c r="M68" i="8"/>
  <c r="M69" i="8" s="1"/>
  <c r="C127" i="8"/>
  <c r="B68" i="8"/>
  <c r="B80" i="8" s="1"/>
  <c r="I68" i="8"/>
  <c r="I69" i="8" s="1"/>
  <c r="O80" i="8"/>
  <c r="I55" i="8"/>
  <c r="I56" i="8" s="1"/>
  <c r="M53" i="8"/>
  <c r="C38" i="18" s="1"/>
  <c r="C40" i="18" s="1"/>
  <c r="U78" i="8"/>
  <c r="I76" i="8"/>
  <c r="I77" i="8" s="1"/>
  <c r="M71" i="8"/>
  <c r="K80" i="8"/>
  <c r="AA80" i="8"/>
  <c r="C111" i="8"/>
  <c r="H104" i="8"/>
  <c r="H126" i="8"/>
  <c r="I122" i="8"/>
  <c r="H169" i="8"/>
  <c r="O88" i="6"/>
  <c r="S88" i="6"/>
  <c r="K88" i="6"/>
  <c r="C43" i="19"/>
  <c r="C38" i="19"/>
  <c r="C56" i="19"/>
  <c r="C25" i="18" l="1"/>
  <c r="D30" i="18"/>
  <c r="E30" i="18" s="1"/>
  <c r="R45" i="8"/>
  <c r="U45" i="8" s="1"/>
  <c r="U60" i="8"/>
  <c r="D45" i="18"/>
  <c r="E45" i="18" s="1"/>
  <c r="U31" i="8"/>
  <c r="D17" i="18"/>
  <c r="E17" i="18" s="1"/>
  <c r="U67" i="8"/>
  <c r="D52" i="18"/>
  <c r="U54" i="8"/>
  <c r="D39" i="18"/>
  <c r="E39" i="18" s="1"/>
  <c r="G65" i="18"/>
  <c r="U74" i="8"/>
  <c r="D59" i="18"/>
  <c r="E59" i="18" s="1"/>
  <c r="E61" i="18" s="1"/>
  <c r="U25" i="8"/>
  <c r="D11" i="18"/>
  <c r="E11" i="18" s="1"/>
  <c r="I36" i="10"/>
  <c r="U63" i="8"/>
  <c r="D48" i="18"/>
  <c r="E48" i="18" s="1"/>
  <c r="U59" i="8"/>
  <c r="D44" i="18"/>
  <c r="D53" i="18" s="1"/>
  <c r="U75" i="8"/>
  <c r="D60" i="18"/>
  <c r="E60" i="18" s="1"/>
  <c r="E43" i="18"/>
  <c r="E53" i="18" s="1"/>
  <c r="C56" i="18"/>
  <c r="C61" i="18" s="1"/>
  <c r="Q71" i="8"/>
  <c r="H125" i="10"/>
  <c r="M30" i="10"/>
  <c r="C16" i="11" s="1"/>
  <c r="U61" i="8"/>
  <c r="D46" i="18"/>
  <c r="E46" i="18" s="1"/>
  <c r="U32" i="8"/>
  <c r="D18" i="18"/>
  <c r="E18" i="18" s="1"/>
  <c r="D65" i="18"/>
  <c r="U62" i="8"/>
  <c r="D47" i="18"/>
  <c r="U66" i="8"/>
  <c r="D51" i="18"/>
  <c r="E51" i="18" s="1"/>
  <c r="I121" i="10"/>
  <c r="D65" i="19"/>
  <c r="E65" i="19" s="1"/>
  <c r="G65" i="19"/>
  <c r="U80" i="6"/>
  <c r="G60" i="22" s="1"/>
  <c r="D60" i="22"/>
  <c r="C30" i="19"/>
  <c r="D59" i="22"/>
  <c r="U79" i="6"/>
  <c r="U86" i="6"/>
  <c r="D65" i="22"/>
  <c r="E45" i="22"/>
  <c r="E44" i="22"/>
  <c r="E48" i="22"/>
  <c r="E47" i="22"/>
  <c r="E39" i="22"/>
  <c r="I69" i="11"/>
  <c r="I77" i="11" s="1"/>
  <c r="I79" i="11" s="1"/>
  <c r="Q71" i="6"/>
  <c r="U71" i="6" s="1"/>
  <c r="Q33" i="6"/>
  <c r="D17" i="22" s="1"/>
  <c r="Q27" i="6"/>
  <c r="Q34" i="6"/>
  <c r="D18" i="22" s="1"/>
  <c r="U65" i="6"/>
  <c r="G46" i="22" s="1"/>
  <c r="U66" i="6"/>
  <c r="G47" i="22" s="1"/>
  <c r="U67" i="6"/>
  <c r="G48" i="22" s="1"/>
  <c r="U70" i="6"/>
  <c r="G52" i="22" s="1"/>
  <c r="U58" i="6"/>
  <c r="G39" i="22" s="1"/>
  <c r="U63" i="6"/>
  <c r="G44" i="22" s="1"/>
  <c r="U64" i="6"/>
  <c r="G45" i="22" s="1"/>
  <c r="B91" i="6"/>
  <c r="B101" i="6" s="1"/>
  <c r="B103" i="6" s="1"/>
  <c r="C52" i="19"/>
  <c r="B67" i="19"/>
  <c r="D46" i="19"/>
  <c r="C61" i="19"/>
  <c r="D59" i="19"/>
  <c r="D39" i="19"/>
  <c r="D47" i="19"/>
  <c r="C11" i="19"/>
  <c r="D48" i="19"/>
  <c r="C40" i="19"/>
  <c r="D51" i="19"/>
  <c r="D45" i="19"/>
  <c r="D60" i="19"/>
  <c r="D44" i="19"/>
  <c r="O69" i="11"/>
  <c r="O77" i="11" s="1"/>
  <c r="O79" i="11" s="1"/>
  <c r="F69" i="11"/>
  <c r="F77" i="11" s="1"/>
  <c r="F79" i="11" s="1"/>
  <c r="H14" i="11"/>
  <c r="B25" i="11"/>
  <c r="K14" i="11"/>
  <c r="E14" i="11"/>
  <c r="E61" i="11"/>
  <c r="N32" i="11"/>
  <c r="N35" i="11" s="1"/>
  <c r="N14" i="11"/>
  <c r="B67" i="11"/>
  <c r="C128" i="8"/>
  <c r="K53" i="11"/>
  <c r="K32" i="11"/>
  <c r="K35" i="11" s="1"/>
  <c r="N40" i="11"/>
  <c r="N61" i="11"/>
  <c r="H61" i="11"/>
  <c r="H40" i="11"/>
  <c r="B83" i="8"/>
  <c r="B93" i="8" s="1"/>
  <c r="B95" i="8" s="1"/>
  <c r="H53" i="11"/>
  <c r="E40" i="11"/>
  <c r="H32" i="11"/>
  <c r="H35" i="11" s="1"/>
  <c r="E32" i="11"/>
  <c r="E35" i="11" s="1"/>
  <c r="K61" i="11"/>
  <c r="E53" i="11"/>
  <c r="N53" i="11"/>
  <c r="Y78" i="10"/>
  <c r="M68" i="10"/>
  <c r="J68" i="10" s="1"/>
  <c r="Y58" i="10"/>
  <c r="U68" i="10"/>
  <c r="H127" i="10"/>
  <c r="I127" i="10" s="1"/>
  <c r="J76" i="10"/>
  <c r="Q68" i="10"/>
  <c r="H126" i="10"/>
  <c r="I126" i="10" s="1"/>
  <c r="I49" i="10" s="1"/>
  <c r="M49" i="10" s="1"/>
  <c r="Q49" i="10" s="1"/>
  <c r="U49" i="10" s="1"/>
  <c r="Y49" i="10" s="1"/>
  <c r="AC49" i="10" s="1"/>
  <c r="C127" i="10"/>
  <c r="Y71" i="10"/>
  <c r="U76" i="10"/>
  <c r="R76" i="10" s="1"/>
  <c r="Q53" i="10"/>
  <c r="M55" i="10"/>
  <c r="J55" i="10" s="1"/>
  <c r="H103" i="10"/>
  <c r="M36" i="10"/>
  <c r="Q30" i="10"/>
  <c r="D16" i="11" s="1"/>
  <c r="E16" i="11" s="1"/>
  <c r="E22" i="11" s="1"/>
  <c r="N76" i="10"/>
  <c r="I104" i="8"/>
  <c r="H111" i="8"/>
  <c r="M55" i="8"/>
  <c r="Q53" i="8"/>
  <c r="D38" i="18" s="1"/>
  <c r="J68" i="8"/>
  <c r="I126" i="8"/>
  <c r="H127" i="8"/>
  <c r="I127" i="8" s="1"/>
  <c r="Q49" i="8" s="1"/>
  <c r="Q68" i="8"/>
  <c r="U58" i="8"/>
  <c r="G43" i="18" s="1"/>
  <c r="Q30" i="8"/>
  <c r="D16" i="18" s="1"/>
  <c r="E16" i="18" s="1"/>
  <c r="M76" i="8"/>
  <c r="Y78" i="8"/>
  <c r="J65" i="18" s="1"/>
  <c r="Q32" i="6"/>
  <c r="D16" i="22" s="1"/>
  <c r="Q62" i="6"/>
  <c r="D43" i="22" s="1"/>
  <c r="J72" i="6"/>
  <c r="Q76" i="6"/>
  <c r="J59" i="6"/>
  <c r="Q57" i="6"/>
  <c r="D38" i="22" s="1"/>
  <c r="D38" i="19"/>
  <c r="D43" i="19"/>
  <c r="J65" i="19"/>
  <c r="D56" i="19"/>
  <c r="Y45" i="8" l="1"/>
  <c r="V45" i="8"/>
  <c r="G30" i="18"/>
  <c r="H30" i="18" s="1"/>
  <c r="Y63" i="8"/>
  <c r="G48" i="18"/>
  <c r="H48" i="18" s="1"/>
  <c r="D40" i="18"/>
  <c r="E38" i="18"/>
  <c r="E40" i="18" s="1"/>
  <c r="Y74" i="8"/>
  <c r="G59" i="18"/>
  <c r="H59" i="18" s="1"/>
  <c r="Y54" i="8"/>
  <c r="G39" i="18"/>
  <c r="H39" i="18" s="1"/>
  <c r="Y31" i="8"/>
  <c r="G17" i="18"/>
  <c r="H17" i="18" s="1"/>
  <c r="H43" i="18"/>
  <c r="Y66" i="8"/>
  <c r="G51" i="18"/>
  <c r="H51" i="18" s="1"/>
  <c r="Y61" i="8"/>
  <c r="G46" i="18"/>
  <c r="H46" i="18" s="1"/>
  <c r="G60" i="18"/>
  <c r="H60" i="18" s="1"/>
  <c r="Y75" i="8"/>
  <c r="M77" i="8"/>
  <c r="U49" i="8"/>
  <c r="R49" i="8"/>
  <c r="D34" i="18"/>
  <c r="E34" i="18" s="1"/>
  <c r="I125" i="10"/>
  <c r="I44" i="10"/>
  <c r="Y62" i="8"/>
  <c r="G47" i="18"/>
  <c r="Y32" i="8"/>
  <c r="G18" i="18"/>
  <c r="H18" i="18" s="1"/>
  <c r="Y59" i="8"/>
  <c r="G44" i="18"/>
  <c r="G53" i="18" s="1"/>
  <c r="U71" i="8"/>
  <c r="G56" i="18" s="1"/>
  <c r="G61" i="18" s="1"/>
  <c r="D56" i="18"/>
  <c r="D61" i="18" s="1"/>
  <c r="Y25" i="8"/>
  <c r="G11" i="18"/>
  <c r="H11" i="18" s="1"/>
  <c r="Y67" i="8"/>
  <c r="G52" i="18"/>
  <c r="Y60" i="8"/>
  <c r="G45" i="18"/>
  <c r="H45" i="18" s="1"/>
  <c r="H65" i="19"/>
  <c r="C15" i="27"/>
  <c r="Y80" i="6"/>
  <c r="J60" i="22" s="1"/>
  <c r="C32" i="19"/>
  <c r="C35" i="19" s="1"/>
  <c r="D30" i="19"/>
  <c r="Y79" i="6"/>
  <c r="G59" i="22"/>
  <c r="U76" i="6"/>
  <c r="D56" i="22"/>
  <c r="D61" i="22" s="1"/>
  <c r="Y86" i="6"/>
  <c r="G65" i="22"/>
  <c r="E59" i="22"/>
  <c r="H48" i="22"/>
  <c r="E43" i="22"/>
  <c r="E53" i="22" s="1"/>
  <c r="D53" i="22"/>
  <c r="H45" i="22"/>
  <c r="H44" i="22"/>
  <c r="H47" i="22"/>
  <c r="D40" i="22"/>
  <c r="E38" i="22"/>
  <c r="E40" i="22" s="1"/>
  <c r="H39" i="22"/>
  <c r="U33" i="6"/>
  <c r="E16" i="22"/>
  <c r="D11" i="22"/>
  <c r="U27" i="6"/>
  <c r="C53" i="19"/>
  <c r="H25" i="11"/>
  <c r="E25" i="11"/>
  <c r="D30" i="22"/>
  <c r="U34" i="6"/>
  <c r="Y63" i="6"/>
  <c r="J44" i="22" s="1"/>
  <c r="Y70" i="6"/>
  <c r="J52" i="22" s="1"/>
  <c r="Y66" i="6"/>
  <c r="J47" i="22" s="1"/>
  <c r="Y71" i="6"/>
  <c r="Y65" i="6"/>
  <c r="J46" i="22" s="1"/>
  <c r="Y64" i="6"/>
  <c r="J45" i="22" s="1"/>
  <c r="Y58" i="6"/>
  <c r="J39" i="22" s="1"/>
  <c r="Y67" i="6"/>
  <c r="J48" i="22" s="1"/>
  <c r="K65" i="19"/>
  <c r="E56" i="19"/>
  <c r="D52" i="19"/>
  <c r="G46" i="19"/>
  <c r="E46" i="19"/>
  <c r="G51" i="19"/>
  <c r="G44" i="19"/>
  <c r="E45" i="19"/>
  <c r="E48" i="19"/>
  <c r="E47" i="19"/>
  <c r="G39" i="19"/>
  <c r="E43" i="19"/>
  <c r="D11" i="19"/>
  <c r="E39" i="19"/>
  <c r="E38" i="19"/>
  <c r="D40" i="19"/>
  <c r="E16" i="19"/>
  <c r="E44" i="19"/>
  <c r="G45" i="19"/>
  <c r="G48" i="19"/>
  <c r="G47" i="19"/>
  <c r="D61" i="19"/>
  <c r="E59" i="19"/>
  <c r="G60" i="19"/>
  <c r="E60" i="19"/>
  <c r="E51" i="19"/>
  <c r="G59" i="19"/>
  <c r="B69" i="11"/>
  <c r="B77" i="11" s="1"/>
  <c r="B79" i="11" s="1"/>
  <c r="N68" i="8"/>
  <c r="Q69" i="8"/>
  <c r="J55" i="8"/>
  <c r="M56" i="8"/>
  <c r="H128" i="8"/>
  <c r="I128" i="8" s="1"/>
  <c r="H67" i="11"/>
  <c r="N67" i="11"/>
  <c r="K67" i="11"/>
  <c r="E67" i="11"/>
  <c r="J36" i="10"/>
  <c r="I103" i="10"/>
  <c r="H110" i="10"/>
  <c r="AC78" i="10"/>
  <c r="N68" i="10"/>
  <c r="Y68" i="10"/>
  <c r="V68" i="10" s="1"/>
  <c r="AC58" i="10"/>
  <c r="AC68" i="10" s="1"/>
  <c r="Y76" i="10"/>
  <c r="V76" i="10" s="1"/>
  <c r="AC71" i="10"/>
  <c r="AC76" i="10" s="1"/>
  <c r="Z76" i="10" s="1"/>
  <c r="U30" i="10"/>
  <c r="G16" i="11" s="1"/>
  <c r="H16" i="11" s="1"/>
  <c r="H22" i="11" s="1"/>
  <c r="Q36" i="10"/>
  <c r="Q55" i="10"/>
  <c r="N55" i="10" s="1"/>
  <c r="U53" i="10"/>
  <c r="R68" i="10"/>
  <c r="J76" i="8"/>
  <c r="U68" i="8"/>
  <c r="Y58" i="8"/>
  <c r="J43" i="18" s="1"/>
  <c r="AC78" i="8"/>
  <c r="M65" i="18" s="1"/>
  <c r="Q76" i="8"/>
  <c r="U30" i="8"/>
  <c r="G16" i="18" s="1"/>
  <c r="H16" i="18" s="1"/>
  <c r="I111" i="8"/>
  <c r="I47" i="8"/>
  <c r="I50" i="8" s="1"/>
  <c r="M44" i="8"/>
  <c r="Q55" i="8"/>
  <c r="U53" i="8"/>
  <c r="G38" i="18" s="1"/>
  <c r="Q59" i="6"/>
  <c r="U57" i="6"/>
  <c r="G38" i="22" s="1"/>
  <c r="J81" i="6"/>
  <c r="Q72" i="6"/>
  <c r="U62" i="6"/>
  <c r="G43" i="22" s="1"/>
  <c r="J38" i="6"/>
  <c r="Q81" i="6"/>
  <c r="Q82" i="6" s="1"/>
  <c r="U32" i="6"/>
  <c r="M65" i="19"/>
  <c r="G38" i="19"/>
  <c r="G56" i="19"/>
  <c r="G43" i="19"/>
  <c r="G40" i="18" l="1"/>
  <c r="H38" i="18"/>
  <c r="H40" i="18" s="1"/>
  <c r="H53" i="18"/>
  <c r="C29" i="18"/>
  <c r="C32" i="18" s="1"/>
  <c r="C35" i="18" s="1"/>
  <c r="C67" i="18" s="1"/>
  <c r="C77" i="18" s="1"/>
  <c r="C79" i="18" s="1"/>
  <c r="N44" i="8"/>
  <c r="Q77" i="8"/>
  <c r="AC60" i="8"/>
  <c r="M45" i="18" s="1"/>
  <c r="N45" i="18" s="1"/>
  <c r="J45" i="18"/>
  <c r="K45" i="18" s="1"/>
  <c r="AC25" i="8"/>
  <c r="M11" i="18" s="1"/>
  <c r="J11" i="18"/>
  <c r="K11" i="18" s="1"/>
  <c r="AC61" i="8"/>
  <c r="M46" i="18" s="1"/>
  <c r="N46" i="18" s="1"/>
  <c r="J46" i="18"/>
  <c r="K46" i="18" s="1"/>
  <c r="AC54" i="8"/>
  <c r="M39" i="18" s="1"/>
  <c r="J39" i="18"/>
  <c r="K39" i="18" s="1"/>
  <c r="K43" i="18"/>
  <c r="AC67" i="8"/>
  <c r="M52" i="18" s="1"/>
  <c r="J52" i="18"/>
  <c r="K52" i="18" s="1"/>
  <c r="AC32" i="8"/>
  <c r="M18" i="18" s="1"/>
  <c r="N18" i="18" s="1"/>
  <c r="J18" i="18"/>
  <c r="K18" i="18" s="1"/>
  <c r="I80" i="8"/>
  <c r="I81" i="8" s="1"/>
  <c r="I51" i="8"/>
  <c r="AC59" i="8"/>
  <c r="M44" i="18" s="1"/>
  <c r="J44" i="18"/>
  <c r="K44" i="18" s="1"/>
  <c r="AC62" i="8"/>
  <c r="M47" i="18" s="1"/>
  <c r="J47" i="18"/>
  <c r="AC75" i="8"/>
  <c r="M60" i="18" s="1"/>
  <c r="J60" i="18"/>
  <c r="K60" i="18" s="1"/>
  <c r="H61" i="18"/>
  <c r="I47" i="10"/>
  <c r="I50" i="10" s="1"/>
  <c r="I80" i="10" s="1"/>
  <c r="M44" i="10"/>
  <c r="Y49" i="8"/>
  <c r="G34" i="18"/>
  <c r="H34" i="18" s="1"/>
  <c r="V49" i="8"/>
  <c r="AC66" i="8"/>
  <c r="M51" i="18" s="1"/>
  <c r="J51" i="18"/>
  <c r="K51" i="18" s="1"/>
  <c r="AC31" i="8"/>
  <c r="M17" i="18" s="1"/>
  <c r="N17" i="18" s="1"/>
  <c r="J17" i="18"/>
  <c r="K17" i="18" s="1"/>
  <c r="AC74" i="8"/>
  <c r="M59" i="18" s="1"/>
  <c r="J59" i="18"/>
  <c r="K59" i="18" s="1"/>
  <c r="K61" i="18" s="1"/>
  <c r="AC63" i="8"/>
  <c r="M48" i="18" s="1"/>
  <c r="N48" i="18" s="1"/>
  <c r="J48" i="18"/>
  <c r="K48" i="18" s="1"/>
  <c r="Z45" i="8"/>
  <c r="AC45" i="8" s="1"/>
  <c r="M30" i="18" s="1"/>
  <c r="N30" i="18" s="1"/>
  <c r="J30" i="18"/>
  <c r="K30" i="18" s="1"/>
  <c r="F15" i="27"/>
  <c r="I15" i="27"/>
  <c r="AC80" i="6"/>
  <c r="C67" i="19"/>
  <c r="D32" i="19"/>
  <c r="D35" i="19" s="1"/>
  <c r="E30" i="19"/>
  <c r="E32" i="19" s="1"/>
  <c r="E35" i="19" s="1"/>
  <c r="G30" i="19"/>
  <c r="G56" i="22"/>
  <c r="G61" i="22" s="1"/>
  <c r="Y76" i="6"/>
  <c r="J56" i="22" s="1"/>
  <c r="J65" i="22"/>
  <c r="AC86" i="6"/>
  <c r="M65" i="22" s="1"/>
  <c r="H59" i="22"/>
  <c r="E56" i="22"/>
  <c r="E61" i="22" s="1"/>
  <c r="AC79" i="6"/>
  <c r="M59" i="22" s="1"/>
  <c r="J59" i="22"/>
  <c r="K48" i="22"/>
  <c r="G53" i="22"/>
  <c r="H43" i="22"/>
  <c r="H53" i="22" s="1"/>
  <c r="K47" i="22"/>
  <c r="K44" i="22"/>
  <c r="K45" i="22"/>
  <c r="K52" i="22"/>
  <c r="K39" i="22"/>
  <c r="G40" i="22"/>
  <c r="H38" i="22"/>
  <c r="H40" i="22" s="1"/>
  <c r="E30" i="22"/>
  <c r="G18" i="22"/>
  <c r="Y34" i="6"/>
  <c r="J18" i="22" s="1"/>
  <c r="Y33" i="6"/>
  <c r="J17" i="22" s="1"/>
  <c r="G17" i="22"/>
  <c r="G16" i="22"/>
  <c r="Y32" i="6"/>
  <c r="J16" i="22" s="1"/>
  <c r="G11" i="22"/>
  <c r="Y27" i="6"/>
  <c r="J11" i="22" s="1"/>
  <c r="D14" i="22"/>
  <c r="D25" i="22" s="1"/>
  <c r="E11" i="22"/>
  <c r="E14" i="22" s="1"/>
  <c r="E25" i="22" s="1"/>
  <c r="H69" i="11"/>
  <c r="H77" i="11" s="1"/>
  <c r="H79" i="11" s="1"/>
  <c r="E69" i="11"/>
  <c r="E77" i="11" s="1"/>
  <c r="E79" i="11" s="1"/>
  <c r="N72" i="6"/>
  <c r="Q73" i="6"/>
  <c r="N59" i="6"/>
  <c r="G30" i="22"/>
  <c r="AC67" i="6"/>
  <c r="M48" i="22" s="1"/>
  <c r="AC64" i="6"/>
  <c r="M45" i="22" s="1"/>
  <c r="AC65" i="6"/>
  <c r="M46" i="22" s="1"/>
  <c r="AC66" i="6"/>
  <c r="M47" i="22" s="1"/>
  <c r="AC70" i="6"/>
  <c r="M52" i="22" s="1"/>
  <c r="AC63" i="6"/>
  <c r="M44" i="22" s="1"/>
  <c r="AC58" i="6"/>
  <c r="M39" i="22" s="1"/>
  <c r="AC71" i="6"/>
  <c r="Q52" i="6"/>
  <c r="D34" i="22" s="1"/>
  <c r="N65" i="19"/>
  <c r="H56" i="19"/>
  <c r="E52" i="19"/>
  <c r="G52" i="19"/>
  <c r="D53" i="19"/>
  <c r="H46" i="19"/>
  <c r="J46" i="19"/>
  <c r="M46" i="19"/>
  <c r="H60" i="19"/>
  <c r="H47" i="19"/>
  <c r="M45" i="19"/>
  <c r="J45" i="19"/>
  <c r="H51" i="19"/>
  <c r="M44" i="19"/>
  <c r="J44" i="19"/>
  <c r="G40" i="19"/>
  <c r="H38" i="19"/>
  <c r="E17" i="19"/>
  <c r="M60" i="19"/>
  <c r="J60" i="19"/>
  <c r="E61" i="19"/>
  <c r="M47" i="19"/>
  <c r="J47" i="19"/>
  <c r="H45" i="19"/>
  <c r="E40" i="19"/>
  <c r="E11" i="19"/>
  <c r="J51" i="19"/>
  <c r="M51" i="19"/>
  <c r="H43" i="19"/>
  <c r="G61" i="19"/>
  <c r="H59" i="19"/>
  <c r="M48" i="19"/>
  <c r="J48" i="19"/>
  <c r="M39" i="19"/>
  <c r="J39" i="19"/>
  <c r="H16" i="19"/>
  <c r="M59" i="19"/>
  <c r="J59" i="19"/>
  <c r="H48" i="19"/>
  <c r="G11" i="19"/>
  <c r="H39" i="19"/>
  <c r="H44" i="19"/>
  <c r="E18" i="19"/>
  <c r="R68" i="8"/>
  <c r="U69" i="8"/>
  <c r="N55" i="8"/>
  <c r="Q56" i="8"/>
  <c r="U36" i="10"/>
  <c r="Y30" i="10"/>
  <c r="J16" i="11" s="1"/>
  <c r="K16" i="11" s="1"/>
  <c r="K22" i="11" s="1"/>
  <c r="K25" i="11" s="1"/>
  <c r="K69" i="11" s="1"/>
  <c r="K77" i="11" s="1"/>
  <c r="K79" i="11" s="1"/>
  <c r="Y53" i="10"/>
  <c r="U55" i="10"/>
  <c r="N36" i="10"/>
  <c r="Z68" i="10"/>
  <c r="I110" i="10"/>
  <c r="I20" i="10"/>
  <c r="Q44" i="8"/>
  <c r="M47" i="8"/>
  <c r="I28" i="8"/>
  <c r="AC58" i="8"/>
  <c r="Y68" i="8"/>
  <c r="N76" i="8"/>
  <c r="Y53" i="8"/>
  <c r="J38" i="18" s="1"/>
  <c r="U55" i="8"/>
  <c r="U76" i="8"/>
  <c r="Y71" i="8"/>
  <c r="Y30" i="8"/>
  <c r="J16" i="18" s="1"/>
  <c r="K16" i="18" s="1"/>
  <c r="U72" i="6"/>
  <c r="Y62" i="6"/>
  <c r="J43" i="22" s="1"/>
  <c r="N81" i="6"/>
  <c r="Y57" i="6"/>
  <c r="J38" i="22" s="1"/>
  <c r="U59" i="6"/>
  <c r="Q46" i="6"/>
  <c r="U81" i="6"/>
  <c r="U82" i="6" s="1"/>
  <c r="J43" i="19"/>
  <c r="J56" i="19"/>
  <c r="J38" i="19"/>
  <c r="B5" i="19"/>
  <c r="J53" i="18" l="1"/>
  <c r="N59" i="18"/>
  <c r="N51" i="18"/>
  <c r="Q44" i="10"/>
  <c r="M47" i="10"/>
  <c r="N52" i="18"/>
  <c r="AC49" i="8"/>
  <c r="M34" i="18" s="1"/>
  <c r="J34" i="18"/>
  <c r="K34" i="18" s="1"/>
  <c r="Z49" i="8"/>
  <c r="AC71" i="8"/>
  <c r="M56" i="18" s="1"/>
  <c r="M61" i="18" s="1"/>
  <c r="J56" i="18"/>
  <c r="J61" i="18" s="1"/>
  <c r="U77" i="8"/>
  <c r="D29" i="18"/>
  <c r="R44" i="8"/>
  <c r="N60" i="18"/>
  <c r="N44" i="18"/>
  <c r="N39" i="18"/>
  <c r="N11" i="18"/>
  <c r="J40" i="18"/>
  <c r="K38" i="18"/>
  <c r="K40" i="18" s="1"/>
  <c r="AC68" i="8"/>
  <c r="AC69" i="8" s="1"/>
  <c r="M43" i="18"/>
  <c r="N47" i="18"/>
  <c r="K47" i="18"/>
  <c r="K53" i="18"/>
  <c r="L15" i="27"/>
  <c r="D29" i="22"/>
  <c r="Q50" i="6"/>
  <c r="J61" i="22"/>
  <c r="M60" i="22"/>
  <c r="G32" i="19"/>
  <c r="G35" i="19" s="1"/>
  <c r="H30" i="19"/>
  <c r="H32" i="19" s="1"/>
  <c r="H35" i="19" s="1"/>
  <c r="M30" i="19"/>
  <c r="J30" i="19"/>
  <c r="N59" i="22"/>
  <c r="K59" i="22"/>
  <c r="H56" i="22"/>
  <c r="H61" i="22" s="1"/>
  <c r="K56" i="22"/>
  <c r="J53" i="22"/>
  <c r="K43" i="22"/>
  <c r="K53" i="22" s="1"/>
  <c r="N52" i="22"/>
  <c r="N48" i="22"/>
  <c r="N44" i="22"/>
  <c r="N47" i="22"/>
  <c r="N45" i="22"/>
  <c r="N39" i="22"/>
  <c r="J40" i="22"/>
  <c r="K38" i="22"/>
  <c r="K40" i="22" s="1"/>
  <c r="E34" i="22"/>
  <c r="H30" i="22"/>
  <c r="AC33" i="6"/>
  <c r="M17" i="22" s="1"/>
  <c r="N17" i="22" s="1"/>
  <c r="K16" i="22"/>
  <c r="H16" i="22"/>
  <c r="H11" i="22"/>
  <c r="G14" i="22"/>
  <c r="G25" i="22" s="1"/>
  <c r="K11" i="22"/>
  <c r="K14" i="22" s="1"/>
  <c r="J14" i="22"/>
  <c r="J25" i="22" s="1"/>
  <c r="D67" i="19"/>
  <c r="G53" i="19"/>
  <c r="R72" i="6"/>
  <c r="U73" i="6"/>
  <c r="R59" i="6"/>
  <c r="U60" i="6"/>
  <c r="AC27" i="6"/>
  <c r="M11" i="22" s="1"/>
  <c r="AC34" i="6"/>
  <c r="M18" i="22" s="1"/>
  <c r="J30" i="22"/>
  <c r="U52" i="6"/>
  <c r="K56" i="19"/>
  <c r="J52" i="19"/>
  <c r="M52" i="19"/>
  <c r="E53" i="19"/>
  <c r="E67" i="19" s="1"/>
  <c r="H52" i="19"/>
  <c r="H53" i="19" s="1"/>
  <c r="K46" i="19"/>
  <c r="N46" i="19"/>
  <c r="H40" i="19"/>
  <c r="N39" i="19"/>
  <c r="N48" i="19"/>
  <c r="K51" i="19"/>
  <c r="N45" i="19"/>
  <c r="H17" i="19"/>
  <c r="K48" i="19"/>
  <c r="N60" i="19"/>
  <c r="K45" i="19"/>
  <c r="B14" i="19"/>
  <c r="K43" i="19"/>
  <c r="E22" i="19"/>
  <c r="K59" i="19"/>
  <c r="J61" i="19"/>
  <c r="H18" i="19"/>
  <c r="H61" i="19"/>
  <c r="K16" i="19"/>
  <c r="M11" i="19"/>
  <c r="J11" i="19"/>
  <c r="K39" i="19"/>
  <c r="N51" i="19"/>
  <c r="N47" i="19"/>
  <c r="N44" i="19"/>
  <c r="J40" i="19"/>
  <c r="K38" i="19"/>
  <c r="H11" i="19"/>
  <c r="N59" i="19"/>
  <c r="K18" i="19"/>
  <c r="K47" i="19"/>
  <c r="K60" i="19"/>
  <c r="K44" i="19"/>
  <c r="V68" i="8"/>
  <c r="Y69" i="8"/>
  <c r="R55" i="8"/>
  <c r="U56" i="8"/>
  <c r="Z30" i="8"/>
  <c r="I39" i="8"/>
  <c r="Z68" i="8"/>
  <c r="I117" i="8"/>
  <c r="Y55" i="10"/>
  <c r="AC53" i="10"/>
  <c r="AC55" i="10" s="1"/>
  <c r="I28" i="10"/>
  <c r="I39" i="10" s="1"/>
  <c r="I82" i="10" s="1"/>
  <c r="I92" i="10" s="1"/>
  <c r="I94" i="10" s="1"/>
  <c r="B80" i="11" s="1"/>
  <c r="M20" i="10"/>
  <c r="Y36" i="10"/>
  <c r="AC30" i="10"/>
  <c r="R55" i="10"/>
  <c r="R36" i="10"/>
  <c r="Y76" i="8"/>
  <c r="Y77" i="8" s="1"/>
  <c r="AC76" i="8"/>
  <c r="AC77" i="8" s="1"/>
  <c r="R76" i="8"/>
  <c r="Y55" i="8"/>
  <c r="AC53" i="8"/>
  <c r="J47" i="8"/>
  <c r="M50" i="8"/>
  <c r="Q21" i="8"/>
  <c r="D5" i="18" s="1"/>
  <c r="M28" i="8"/>
  <c r="M39" i="8" s="1"/>
  <c r="M40" i="8" s="1"/>
  <c r="AC30" i="8"/>
  <c r="M16" i="18" s="1"/>
  <c r="N16" i="18" s="1"/>
  <c r="U44" i="8"/>
  <c r="Q47" i="8"/>
  <c r="Y72" i="6"/>
  <c r="AC62" i="6"/>
  <c r="M43" i="22" s="1"/>
  <c r="J50" i="6"/>
  <c r="R81" i="6"/>
  <c r="U46" i="6"/>
  <c r="Y59" i="6"/>
  <c r="AC57" i="6"/>
  <c r="M38" i="22" s="1"/>
  <c r="Y81" i="6"/>
  <c r="Y82" i="6" s="1"/>
  <c r="AC76" i="6"/>
  <c r="M56" i="22" s="1"/>
  <c r="AC32" i="6"/>
  <c r="M16" i="22" s="1"/>
  <c r="C5" i="19"/>
  <c r="AC55" i="8" l="1"/>
  <c r="AC56" i="8" s="1"/>
  <c r="M38" i="18"/>
  <c r="N34" i="18"/>
  <c r="M53" i="18"/>
  <c r="N43" i="18"/>
  <c r="N53" i="18" s="1"/>
  <c r="AC36" i="10"/>
  <c r="M16" i="11"/>
  <c r="N16" i="11" s="1"/>
  <c r="N22" i="11" s="1"/>
  <c r="N25" i="11" s="1"/>
  <c r="N69" i="11" s="1"/>
  <c r="N77" i="11" s="1"/>
  <c r="N79" i="11" s="1"/>
  <c r="D32" i="18"/>
  <c r="D35" i="18" s="1"/>
  <c r="D67" i="18" s="1"/>
  <c r="E29" i="18"/>
  <c r="E32" i="18" s="1"/>
  <c r="E35" i="18" s="1"/>
  <c r="E67" i="18" s="1"/>
  <c r="N61" i="18"/>
  <c r="I116" i="10"/>
  <c r="U44" i="10"/>
  <c r="Q47" i="10"/>
  <c r="V44" i="8"/>
  <c r="Y44" i="8" s="1"/>
  <c r="G29" i="18"/>
  <c r="M51" i="8"/>
  <c r="M80" i="8"/>
  <c r="M81" i="8" s="1"/>
  <c r="I83" i="8"/>
  <c r="I40" i="8"/>
  <c r="J47" i="10"/>
  <c r="M50" i="10"/>
  <c r="J53" i="19"/>
  <c r="D33" i="22"/>
  <c r="D35" i="22" s="1"/>
  <c r="D67" i="22" s="1"/>
  <c r="E29" i="22"/>
  <c r="E33" i="22" s="1"/>
  <c r="E35" i="22" s="1"/>
  <c r="E67" i="22" s="1"/>
  <c r="M61" i="22"/>
  <c r="G29" i="22"/>
  <c r="U50" i="6"/>
  <c r="K61" i="22"/>
  <c r="G34" i="22"/>
  <c r="H34" i="22" s="1"/>
  <c r="X52" i="6"/>
  <c r="G67" i="19"/>
  <c r="K30" i="19"/>
  <c r="K32" i="19" s="1"/>
  <c r="K35" i="19" s="1"/>
  <c r="J32" i="19"/>
  <c r="J35" i="19" s="1"/>
  <c r="N30" i="19"/>
  <c r="N32" i="19" s="1"/>
  <c r="N35" i="19" s="1"/>
  <c r="M32" i="19"/>
  <c r="M35" i="19" s="1"/>
  <c r="N56" i="22"/>
  <c r="N61" i="22" s="1"/>
  <c r="K25" i="22"/>
  <c r="M53" i="22"/>
  <c r="N43" i="22"/>
  <c r="N53" i="22" s="1"/>
  <c r="V59" i="6"/>
  <c r="Y60" i="6"/>
  <c r="M40" i="22"/>
  <c r="N38" i="22"/>
  <c r="N40" i="22" s="1"/>
  <c r="K30" i="22"/>
  <c r="N18" i="22"/>
  <c r="N16" i="22"/>
  <c r="N11" i="22"/>
  <c r="N14" i="22" s="1"/>
  <c r="M14" i="22"/>
  <c r="M25" i="22" s="1"/>
  <c r="B25" i="19"/>
  <c r="H22" i="19"/>
  <c r="V72" i="6"/>
  <c r="Y73" i="6"/>
  <c r="E5" i="18"/>
  <c r="D14" i="18"/>
  <c r="D25" i="18" s="1"/>
  <c r="D77" i="18" s="1"/>
  <c r="D79" i="18" s="1"/>
  <c r="AC81" i="6"/>
  <c r="M30" i="22"/>
  <c r="AC72" i="6"/>
  <c r="AC59" i="6"/>
  <c r="Y52" i="6"/>
  <c r="J34" i="22" s="1"/>
  <c r="M56" i="19"/>
  <c r="N52" i="19"/>
  <c r="K52" i="19"/>
  <c r="H67" i="19"/>
  <c r="M43" i="19"/>
  <c r="N18" i="19"/>
  <c r="N11" i="19"/>
  <c r="K11" i="19"/>
  <c r="K61" i="19"/>
  <c r="K40" i="19"/>
  <c r="M38" i="19"/>
  <c r="C14" i="19"/>
  <c r="C25" i="19" s="1"/>
  <c r="N17" i="19"/>
  <c r="K17" i="19"/>
  <c r="V55" i="8"/>
  <c r="Y56" i="8"/>
  <c r="Z55" i="8"/>
  <c r="Z36" i="10"/>
  <c r="V36" i="10"/>
  <c r="Q20" i="10"/>
  <c r="M28" i="10"/>
  <c r="Z55" i="10"/>
  <c r="V55" i="10"/>
  <c r="J28" i="8"/>
  <c r="Q28" i="8"/>
  <c r="Q39" i="8" s="1"/>
  <c r="Q40" i="8" s="1"/>
  <c r="U21" i="8"/>
  <c r="G5" i="18" s="1"/>
  <c r="V76" i="8"/>
  <c r="J50" i="8"/>
  <c r="N47" i="8"/>
  <c r="Q50" i="8"/>
  <c r="Z76" i="8"/>
  <c r="U47" i="8"/>
  <c r="Y46" i="6"/>
  <c r="J29" i="22" s="1"/>
  <c r="N50" i="6"/>
  <c r="Q53" i="6"/>
  <c r="J53" i="6"/>
  <c r="J88" i="6"/>
  <c r="J30" i="6"/>
  <c r="V81" i="6"/>
  <c r="Q30" i="6"/>
  <c r="Q41" i="6" s="1"/>
  <c r="D26" i="22" s="1"/>
  <c r="D5" i="19"/>
  <c r="U47" i="10" l="1"/>
  <c r="Y44" i="10"/>
  <c r="J50" i="10"/>
  <c r="M80" i="10"/>
  <c r="J80" i="10" s="1"/>
  <c r="Q50" i="10"/>
  <c r="N47" i="10"/>
  <c r="Q51" i="8"/>
  <c r="Q80" i="8"/>
  <c r="Q81" i="8" s="1"/>
  <c r="H29" i="18"/>
  <c r="H32" i="18" s="1"/>
  <c r="H35" i="18" s="1"/>
  <c r="H67" i="18" s="1"/>
  <c r="G32" i="18"/>
  <c r="G35" i="18" s="1"/>
  <c r="G67" i="18" s="1"/>
  <c r="M40" i="18"/>
  <c r="N38" i="18"/>
  <c r="N40" i="18" s="1"/>
  <c r="J80" i="8"/>
  <c r="I93" i="8"/>
  <c r="I95" i="8" s="1"/>
  <c r="B80" i="18"/>
  <c r="Z44" i="8"/>
  <c r="J29" i="18"/>
  <c r="O15" i="27"/>
  <c r="J67" i="19"/>
  <c r="H29" i="22"/>
  <c r="H33" i="22" s="1"/>
  <c r="H35" i="22" s="1"/>
  <c r="H67" i="22" s="1"/>
  <c r="J33" i="22"/>
  <c r="G33" i="22"/>
  <c r="G35" i="22" s="1"/>
  <c r="N25" i="22"/>
  <c r="Z59" i="6"/>
  <c r="AC60" i="6"/>
  <c r="K34" i="22"/>
  <c r="N30" i="22"/>
  <c r="K29" i="22"/>
  <c r="K33" i="22" s="1"/>
  <c r="D70" i="22"/>
  <c r="D80" i="22" s="1"/>
  <c r="Q54" i="6"/>
  <c r="Q88" i="6"/>
  <c r="Q89" i="6" s="1"/>
  <c r="D36" i="22"/>
  <c r="B26" i="19"/>
  <c r="C26" i="19"/>
  <c r="B69" i="19"/>
  <c r="B77" i="19" s="1"/>
  <c r="B79" i="19" s="1"/>
  <c r="B80" i="19" s="1"/>
  <c r="C69" i="19"/>
  <c r="C77" i="19" s="1"/>
  <c r="C79" i="19" s="1"/>
  <c r="Z81" i="6"/>
  <c r="AC82" i="6"/>
  <c r="Z72" i="6"/>
  <c r="AC73" i="6"/>
  <c r="G14" i="18"/>
  <c r="G25" i="18" s="1"/>
  <c r="G77" i="18" s="1"/>
  <c r="G79" i="18" s="1"/>
  <c r="H5" i="18"/>
  <c r="E14" i="18"/>
  <c r="E25" i="18" s="1"/>
  <c r="AC52" i="6"/>
  <c r="M34" i="22" s="1"/>
  <c r="N56" i="19"/>
  <c r="M61" i="19"/>
  <c r="K53" i="19"/>
  <c r="K67" i="19" s="1"/>
  <c r="N16" i="19"/>
  <c r="K22" i="19"/>
  <c r="M53" i="19"/>
  <c r="N43" i="19"/>
  <c r="E5" i="19"/>
  <c r="D14" i="19"/>
  <c r="D25" i="19" s="1"/>
  <c r="M40" i="19"/>
  <c r="N38" i="19"/>
  <c r="J28" i="10"/>
  <c r="M39" i="10"/>
  <c r="U20" i="10"/>
  <c r="Q28" i="10"/>
  <c r="N50" i="8"/>
  <c r="Y21" i="8"/>
  <c r="J5" i="18" s="1"/>
  <c r="U28" i="8"/>
  <c r="U39" i="8" s="1"/>
  <c r="U50" i="8"/>
  <c r="R47" i="8"/>
  <c r="N28" i="8"/>
  <c r="M83" i="8"/>
  <c r="J39" i="8"/>
  <c r="Y47" i="8"/>
  <c r="AC44" i="8"/>
  <c r="U30" i="6"/>
  <c r="U41" i="6" s="1"/>
  <c r="G26" i="22" s="1"/>
  <c r="J41" i="6"/>
  <c r="N53" i="6"/>
  <c r="N30" i="6"/>
  <c r="Q42" i="6"/>
  <c r="Y50" i="6"/>
  <c r="AC46" i="6"/>
  <c r="M29" i="22" s="1"/>
  <c r="U53" i="6"/>
  <c r="R50" i="6"/>
  <c r="G5" i="19"/>
  <c r="N80" i="8" l="1"/>
  <c r="U51" i="8"/>
  <c r="U80" i="8"/>
  <c r="U81" i="8" s="1"/>
  <c r="AC44" i="10"/>
  <c r="AC47" i="10" s="1"/>
  <c r="Y47" i="10"/>
  <c r="AC47" i="8"/>
  <c r="Z47" i="8" s="1"/>
  <c r="M29" i="18"/>
  <c r="K29" i="18"/>
  <c r="K32" i="18" s="1"/>
  <c r="K35" i="18" s="1"/>
  <c r="K67" i="18" s="1"/>
  <c r="J32" i="18"/>
  <c r="J35" i="18" s="1"/>
  <c r="J67" i="18" s="1"/>
  <c r="N50" i="10"/>
  <c r="Q80" i="10"/>
  <c r="N80" i="10" s="1"/>
  <c r="U50" i="10"/>
  <c r="R47" i="10"/>
  <c r="M33" i="22"/>
  <c r="M35" i="22" s="1"/>
  <c r="G67" i="22"/>
  <c r="G36" i="22"/>
  <c r="N88" i="6"/>
  <c r="K35" i="22"/>
  <c r="K67" i="22" s="1"/>
  <c r="N34" i="22"/>
  <c r="J35" i="22"/>
  <c r="N29" i="22"/>
  <c r="N33" i="22" s="1"/>
  <c r="D26" i="19"/>
  <c r="U54" i="6"/>
  <c r="U88" i="6"/>
  <c r="X88" i="6" s="1"/>
  <c r="M93" i="8"/>
  <c r="M95" i="8" s="1"/>
  <c r="C80" i="18"/>
  <c r="K5" i="18"/>
  <c r="J14" i="18"/>
  <c r="J25" i="18" s="1"/>
  <c r="J77" i="18" s="1"/>
  <c r="J79" i="18" s="1"/>
  <c r="H14" i="18"/>
  <c r="H25" i="18" s="1"/>
  <c r="AC50" i="6"/>
  <c r="AC53" i="6" s="1"/>
  <c r="N61" i="19"/>
  <c r="N40" i="19"/>
  <c r="N53" i="19"/>
  <c r="N22" i="19"/>
  <c r="M67" i="19"/>
  <c r="G14" i="19"/>
  <c r="H5" i="19"/>
  <c r="E14" i="19"/>
  <c r="N28" i="10"/>
  <c r="Q39" i="10"/>
  <c r="Y20" i="10"/>
  <c r="U28" i="10"/>
  <c r="M82" i="10"/>
  <c r="M92" i="10" s="1"/>
  <c r="M94" i="10" s="1"/>
  <c r="J39" i="10"/>
  <c r="AC50" i="8"/>
  <c r="AC51" i="8" s="1"/>
  <c r="N39" i="8"/>
  <c r="Q83" i="8"/>
  <c r="Y50" i="8"/>
  <c r="Y51" i="8" s="1"/>
  <c r="V47" i="8"/>
  <c r="Y28" i="8"/>
  <c r="Y39" i="8" s="1"/>
  <c r="AC21" i="8"/>
  <c r="R28" i="8"/>
  <c r="U40" i="8"/>
  <c r="R50" i="8"/>
  <c r="R80" i="8"/>
  <c r="Q91" i="6"/>
  <c r="Q101" i="6" s="1"/>
  <c r="Q103" i="6" s="1"/>
  <c r="N41" i="6"/>
  <c r="R53" i="6"/>
  <c r="R30" i="6"/>
  <c r="U42" i="6"/>
  <c r="Y53" i="6"/>
  <c r="V50" i="6"/>
  <c r="Y30" i="6"/>
  <c r="Y41" i="6" s="1"/>
  <c r="J5" i="19"/>
  <c r="C80" i="19"/>
  <c r="V47" i="10" l="1"/>
  <c r="Y50" i="10"/>
  <c r="U80" i="10"/>
  <c r="R80" i="10" s="1"/>
  <c r="R50" i="10"/>
  <c r="Z47" i="10"/>
  <c r="AC50" i="10"/>
  <c r="M32" i="18"/>
  <c r="M35" i="18" s="1"/>
  <c r="M67" i="18" s="1"/>
  <c r="N29" i="18"/>
  <c r="N32" i="18" s="1"/>
  <c r="N35" i="18" s="1"/>
  <c r="N67" i="18" s="1"/>
  <c r="C11" i="28"/>
  <c r="D15" i="27"/>
  <c r="G70" i="22"/>
  <c r="G80" i="22" s="1"/>
  <c r="N35" i="22"/>
  <c r="N67" i="22" s="1"/>
  <c r="Y88" i="6"/>
  <c r="Y89" i="6" s="1"/>
  <c r="Y54" i="6"/>
  <c r="M36" i="22"/>
  <c r="M67" i="22"/>
  <c r="R88" i="6"/>
  <c r="U89" i="6"/>
  <c r="J36" i="22"/>
  <c r="J67" i="22"/>
  <c r="Y42" i="6"/>
  <c r="J26" i="22"/>
  <c r="G25" i="19"/>
  <c r="E25" i="19"/>
  <c r="E69" i="19" s="1"/>
  <c r="E77" i="19" s="1"/>
  <c r="E79" i="19" s="1"/>
  <c r="N67" i="19"/>
  <c r="AC88" i="6"/>
  <c r="AC89" i="6" s="1"/>
  <c r="AC54" i="6"/>
  <c r="AC28" i="8"/>
  <c r="AC39" i="8" s="1"/>
  <c r="AC40" i="8" s="1"/>
  <c r="M5" i="18"/>
  <c r="Q93" i="8"/>
  <c r="Q95" i="8" s="1"/>
  <c r="D80" i="18"/>
  <c r="K14" i="18"/>
  <c r="K25" i="18" s="1"/>
  <c r="Z50" i="6"/>
  <c r="AC30" i="6"/>
  <c r="AC41" i="6" s="1"/>
  <c r="H14" i="19"/>
  <c r="J14" i="19"/>
  <c r="K5" i="19"/>
  <c r="Q82" i="10"/>
  <c r="Q92" i="10" s="1"/>
  <c r="Q94" i="10" s="1"/>
  <c r="N39" i="10"/>
  <c r="R28" i="10"/>
  <c r="U39" i="10"/>
  <c r="Y28" i="10"/>
  <c r="AC20" i="10"/>
  <c r="AC28" i="10" s="1"/>
  <c r="V28" i="8"/>
  <c r="R39" i="8"/>
  <c r="U83" i="8"/>
  <c r="Z50" i="8"/>
  <c r="AC80" i="8"/>
  <c r="AC81" i="8" s="1"/>
  <c r="V50" i="8"/>
  <c r="Y80" i="8"/>
  <c r="R41" i="6"/>
  <c r="U91" i="6"/>
  <c r="U101" i="6" s="1"/>
  <c r="U103" i="6" s="1"/>
  <c r="V30" i="6"/>
  <c r="Z53" i="6"/>
  <c r="V53" i="6"/>
  <c r="Z50" i="10" l="1"/>
  <c r="AC80" i="10"/>
  <c r="V50" i="10"/>
  <c r="Y80" i="10"/>
  <c r="V80" i="10" s="1"/>
  <c r="V80" i="8"/>
  <c r="Y81" i="8"/>
  <c r="Z28" i="8"/>
  <c r="V88" i="6"/>
  <c r="M70" i="22"/>
  <c r="M80" i="22" s="1"/>
  <c r="J70" i="22"/>
  <c r="J80" i="22" s="1"/>
  <c r="AC42" i="6"/>
  <c r="M26" i="22"/>
  <c r="G26" i="19"/>
  <c r="G69" i="19"/>
  <c r="G77" i="19" s="1"/>
  <c r="G79" i="19" s="1"/>
  <c r="J25" i="19"/>
  <c r="J69" i="19" s="1"/>
  <c r="J77" i="19" s="1"/>
  <c r="J79" i="19" s="1"/>
  <c r="G15" i="27"/>
  <c r="H25" i="19"/>
  <c r="H69" i="19" s="1"/>
  <c r="H77" i="19" s="1"/>
  <c r="H79" i="19" s="1"/>
  <c r="Z30" i="6"/>
  <c r="M14" i="18"/>
  <c r="M25" i="18" s="1"/>
  <c r="M77" i="18" s="1"/>
  <c r="M79" i="18" s="1"/>
  <c r="M80" i="18" s="1"/>
  <c r="N5" i="18"/>
  <c r="U93" i="8"/>
  <c r="U95" i="8" s="1"/>
  <c r="G80" i="18"/>
  <c r="Z88" i="6"/>
  <c r="K14" i="19"/>
  <c r="M5" i="19"/>
  <c r="Z80" i="8"/>
  <c r="R39" i="10"/>
  <c r="U82" i="10"/>
  <c r="U92" i="10" s="1"/>
  <c r="U94" i="10" s="1"/>
  <c r="Z28" i="10"/>
  <c r="AC39" i="10"/>
  <c r="V28" i="10"/>
  <c r="Y39" i="10"/>
  <c r="AC83" i="8"/>
  <c r="AC93" i="8" s="1"/>
  <c r="AC95" i="8" s="1"/>
  <c r="Y91" i="6"/>
  <c r="Y101" i="6" s="1"/>
  <c r="Y103" i="6" s="1"/>
  <c r="V41" i="6"/>
  <c r="AC91" i="6"/>
  <c r="AC101" i="6" s="1"/>
  <c r="AC103" i="6" s="1"/>
  <c r="Z41" i="6"/>
  <c r="Z80" i="10" l="1"/>
  <c r="E11" i="28"/>
  <c r="C5" i="28"/>
  <c r="G80" i="19"/>
  <c r="J26" i="19"/>
  <c r="K25" i="19"/>
  <c r="K69" i="19" s="1"/>
  <c r="K77" i="19" s="1"/>
  <c r="K79" i="19" s="1"/>
  <c r="N14" i="18"/>
  <c r="N25" i="18" s="1"/>
  <c r="M14" i="19"/>
  <c r="N4" i="19"/>
  <c r="AC82" i="10"/>
  <c r="AC92" i="10" s="1"/>
  <c r="AC94" i="10" s="1"/>
  <c r="Z39" i="10"/>
  <c r="Y82" i="10"/>
  <c r="Y92" i="10" s="1"/>
  <c r="Y94" i="10" s="1"/>
  <c r="V39" i="10"/>
  <c r="J80" i="19"/>
  <c r="G11" i="28" l="1"/>
  <c r="J15" i="27"/>
  <c r="M25" i="19"/>
  <c r="N14" i="19"/>
  <c r="M15" i="27" l="1"/>
  <c r="B19" i="23"/>
  <c r="B49" i="23"/>
  <c r="B63" i="23"/>
  <c r="B54" i="23"/>
  <c r="B69" i="23"/>
  <c r="M26" i="19"/>
  <c r="M69" i="19"/>
  <c r="M77" i="19" s="1"/>
  <c r="M79" i="19" s="1"/>
  <c r="M80" i="19" s="1"/>
  <c r="N25" i="19"/>
  <c r="N69" i="19" s="1"/>
  <c r="N77" i="19" s="1"/>
  <c r="N79" i="19" s="1"/>
  <c r="B18" i="23"/>
  <c r="B17" i="23"/>
  <c r="C19" i="23" l="1"/>
  <c r="C17" i="23"/>
  <c r="C18" i="23"/>
  <c r="B42" i="23"/>
  <c r="C46" i="23"/>
  <c r="B55" i="23"/>
  <c r="B47" i="23"/>
  <c r="B48" i="23"/>
  <c r="B41" i="23"/>
  <c r="B59" i="23"/>
  <c r="C49" i="23"/>
  <c r="B46" i="23"/>
  <c r="B23" i="23"/>
  <c r="P15" i="27" l="1"/>
  <c r="F69" i="23"/>
  <c r="C69" i="23"/>
  <c r="D69" i="23" s="1"/>
  <c r="D46" i="23"/>
  <c r="F17" i="23"/>
  <c r="B50" i="23"/>
  <c r="F18" i="23"/>
  <c r="F19" i="23"/>
  <c r="I69" i="23"/>
  <c r="B62" i="23"/>
  <c r="B64" i="23" s="1"/>
  <c r="C41" i="23"/>
  <c r="D41" i="23" s="1"/>
  <c r="C63" i="23"/>
  <c r="C54" i="23"/>
  <c r="D54" i="23" s="1"/>
  <c r="F46" i="23"/>
  <c r="G46" i="23" s="1"/>
  <c r="C59" i="23"/>
  <c r="D59" i="23" s="1"/>
  <c r="C48" i="23"/>
  <c r="D48" i="23" s="1"/>
  <c r="C55" i="23"/>
  <c r="F49" i="23"/>
  <c r="B36" i="23"/>
  <c r="C42" i="23"/>
  <c r="B43" i="23"/>
  <c r="B44" i="23" s="1"/>
  <c r="C47" i="23"/>
  <c r="D47" i="23" s="1"/>
  <c r="B51" i="23"/>
  <c r="B11" i="23"/>
  <c r="C11" i="23"/>
  <c r="B65" i="23" l="1"/>
  <c r="C43" i="23"/>
  <c r="C44" i="23" s="1"/>
  <c r="B56" i="23"/>
  <c r="B57" i="23" s="1"/>
  <c r="C50" i="23"/>
  <c r="D50" i="23" s="1"/>
  <c r="I18" i="23"/>
  <c r="I19" i="23"/>
  <c r="D42" i="23"/>
  <c r="D43" i="23" s="1"/>
  <c r="I17" i="23"/>
  <c r="F41" i="23"/>
  <c r="F59" i="23"/>
  <c r="C51" i="23"/>
  <c r="D51" i="23" s="1"/>
  <c r="B5" i="23"/>
  <c r="B14" i="23" s="1"/>
  <c r="B26" i="23" s="1"/>
  <c r="I46" i="23"/>
  <c r="I49" i="23"/>
  <c r="B31" i="23"/>
  <c r="F63" i="23"/>
  <c r="F48" i="23"/>
  <c r="G48" i="23" s="1"/>
  <c r="F54" i="23"/>
  <c r="G54" i="23" s="1"/>
  <c r="C19" i="28"/>
  <c r="L69" i="23"/>
  <c r="B30" i="23"/>
  <c r="B34" i="23" s="1"/>
  <c r="C36" i="23"/>
  <c r="C62" i="23"/>
  <c r="D62" i="23" s="1"/>
  <c r="D64" i="23" s="1"/>
  <c r="F42" i="23"/>
  <c r="G42" i="23" s="1"/>
  <c r="F55" i="23"/>
  <c r="F47" i="23"/>
  <c r="G47" i="23" s="1"/>
  <c r="L49" i="23"/>
  <c r="D11" i="23"/>
  <c r="C64" i="23"/>
  <c r="C56" i="23" l="1"/>
  <c r="C57" i="23" s="1"/>
  <c r="D56" i="23"/>
  <c r="E19" i="28"/>
  <c r="G19" i="28" s="1"/>
  <c r="F50" i="23"/>
  <c r="G50" i="23" s="1"/>
  <c r="L17" i="23"/>
  <c r="C5" i="23"/>
  <c r="D5" i="23" s="1"/>
  <c r="D14" i="23" s="1"/>
  <c r="D26" i="23" s="1"/>
  <c r="L18" i="23"/>
  <c r="L19" i="23"/>
  <c r="I47" i="23"/>
  <c r="J47" i="23" s="1"/>
  <c r="F36" i="23"/>
  <c r="G36" i="23" s="1"/>
  <c r="C30" i="23"/>
  <c r="I63" i="23"/>
  <c r="F11" i="23"/>
  <c r="G11" i="23" s="1"/>
  <c r="L54" i="23"/>
  <c r="I55" i="23"/>
  <c r="J55" i="23" s="1"/>
  <c r="F62" i="23"/>
  <c r="G62" i="23" s="1"/>
  <c r="G59" i="23"/>
  <c r="I59" i="23"/>
  <c r="I41" i="23"/>
  <c r="L63" i="23"/>
  <c r="F51" i="23"/>
  <c r="G51" i="23" s="1"/>
  <c r="L55" i="23"/>
  <c r="I48" i="23"/>
  <c r="J48" i="23" s="1"/>
  <c r="I42" i="23"/>
  <c r="J42" i="23" s="1"/>
  <c r="C65" i="23"/>
  <c r="F43" i="23"/>
  <c r="F44" i="23" s="1"/>
  <c r="G41" i="23"/>
  <c r="G43" i="23" s="1"/>
  <c r="C31" i="23"/>
  <c r="D31" i="23" s="1"/>
  <c r="J46" i="23"/>
  <c r="L47" i="23"/>
  <c r="L48" i="23"/>
  <c r="I54" i="23"/>
  <c r="J54" i="23" s="1"/>
  <c r="L42" i="23"/>
  <c r="B15" i="23"/>
  <c r="D36" i="23"/>
  <c r="C7" i="27" l="1"/>
  <c r="D30" i="23"/>
  <c r="D34" i="23" s="1"/>
  <c r="D38" i="23" s="1"/>
  <c r="D71" i="23" s="1"/>
  <c r="M48" i="23"/>
  <c r="G56" i="23"/>
  <c r="M47" i="23"/>
  <c r="F64" i="23"/>
  <c r="F65" i="23" s="1"/>
  <c r="C14" i="23"/>
  <c r="C15" i="23" s="1"/>
  <c r="L50" i="23"/>
  <c r="I50" i="23"/>
  <c r="J50" i="23" s="1"/>
  <c r="F5" i="23"/>
  <c r="F14" i="23" s="1"/>
  <c r="L36" i="23"/>
  <c r="I62" i="23"/>
  <c r="J62" i="23" s="1"/>
  <c r="F30" i="23"/>
  <c r="L62" i="23"/>
  <c r="L46" i="23"/>
  <c r="F31" i="23"/>
  <c r="G31" i="23" s="1"/>
  <c r="I36" i="23"/>
  <c r="J36" i="23" s="1"/>
  <c r="M55" i="23"/>
  <c r="J59" i="23"/>
  <c r="I51" i="23"/>
  <c r="I11" i="23"/>
  <c r="J11" i="23" s="1"/>
  <c r="M42" i="23"/>
  <c r="J41" i="23"/>
  <c r="J43" i="23" s="1"/>
  <c r="I43" i="23"/>
  <c r="I44" i="23" s="1"/>
  <c r="G64" i="23"/>
  <c r="L51" i="23"/>
  <c r="L11" i="23"/>
  <c r="M54" i="23"/>
  <c r="F56" i="23"/>
  <c r="F57" i="23" s="1"/>
  <c r="B27" i="23"/>
  <c r="B38" i="23"/>
  <c r="F7" i="27" l="1"/>
  <c r="I64" i="23"/>
  <c r="I65" i="23" s="1"/>
  <c r="J64" i="23"/>
  <c r="F34" i="23"/>
  <c r="F38" i="23" s="1"/>
  <c r="F71" i="23" s="1"/>
  <c r="M51" i="23"/>
  <c r="M62" i="23"/>
  <c r="G5" i="23"/>
  <c r="M50" i="23"/>
  <c r="M36" i="23"/>
  <c r="F15" i="23"/>
  <c r="F26" i="23" s="1"/>
  <c r="I5" i="23"/>
  <c r="I14" i="23" s="1"/>
  <c r="I31" i="23"/>
  <c r="J31" i="23" s="1"/>
  <c r="I30" i="23"/>
  <c r="L59" i="23"/>
  <c r="L31" i="23"/>
  <c r="L41" i="23"/>
  <c r="J51" i="23"/>
  <c r="J56" i="23" s="1"/>
  <c r="I56" i="23"/>
  <c r="I57" i="23" s="1"/>
  <c r="L56" i="23"/>
  <c r="L57" i="23" s="1"/>
  <c r="M46" i="23"/>
  <c r="G30" i="23"/>
  <c r="G34" i="23" s="1"/>
  <c r="G38" i="23" s="1"/>
  <c r="G71" i="23" s="1"/>
  <c r="B71" i="23"/>
  <c r="B72" i="23" s="1"/>
  <c r="M11" i="23"/>
  <c r="L7" i="27" l="1"/>
  <c r="L13" i="27" s="1"/>
  <c r="L19" i="27" s="1"/>
  <c r="I7" i="27"/>
  <c r="M56" i="23"/>
  <c r="M31" i="23"/>
  <c r="J5" i="23"/>
  <c r="J14" i="23" s="1"/>
  <c r="J26" i="23" s="1"/>
  <c r="J30" i="23"/>
  <c r="J34" i="23" s="1"/>
  <c r="J38" i="23" s="1"/>
  <c r="J71" i="23" s="1"/>
  <c r="I34" i="23"/>
  <c r="I15" i="23"/>
  <c r="I26" i="23" s="1"/>
  <c r="L43" i="23"/>
  <c r="L44" i="23" s="1"/>
  <c r="M41" i="23"/>
  <c r="M43" i="23" s="1"/>
  <c r="M59" i="23"/>
  <c r="M64" i="23" s="1"/>
  <c r="L64" i="23"/>
  <c r="F27" i="23"/>
  <c r="B74" i="23"/>
  <c r="B82" i="23" s="1"/>
  <c r="B84" i="23" s="1"/>
  <c r="B85" i="23" s="1"/>
  <c r="F74" i="23"/>
  <c r="F82" i="23" s="1"/>
  <c r="F84" i="23" s="1"/>
  <c r="C13" i="27" l="1"/>
  <c r="C19" i="27" s="1"/>
  <c r="D7" i="27"/>
  <c r="C9" i="28"/>
  <c r="C15" i="28" s="1"/>
  <c r="L30" i="23"/>
  <c r="L5" i="23"/>
  <c r="L14" i="23" s="1"/>
  <c r="F72" i="23"/>
  <c r="I27" i="23"/>
  <c r="I35" i="23"/>
  <c r="I38" i="23" s="1"/>
  <c r="L65" i="23"/>
  <c r="F85" i="23" l="1"/>
  <c r="I13" i="27"/>
  <c r="I19" i="27" s="1"/>
  <c r="J7" i="27"/>
  <c r="J13" i="27" s="1"/>
  <c r="J19" i="27" s="1"/>
  <c r="G5" i="28"/>
  <c r="G9" i="28" s="1"/>
  <c r="G15" i="28" s="1"/>
  <c r="M5" i="23"/>
  <c r="M14" i="23" s="1"/>
  <c r="M26" i="23" s="1"/>
  <c r="M7" i="27"/>
  <c r="M13" i="27" s="1"/>
  <c r="M19" i="27" s="1"/>
  <c r="I39" i="23"/>
  <c r="I71" i="23"/>
  <c r="L15" i="23"/>
  <c r="L26" i="23" s="1"/>
  <c r="M30" i="23"/>
  <c r="M34" i="23" s="1"/>
  <c r="M38" i="23" s="1"/>
  <c r="M71" i="23" s="1"/>
  <c r="L34" i="23"/>
  <c r="L35" i="23" s="1"/>
  <c r="L38" i="23" s="1"/>
  <c r="L71" i="23" s="1"/>
  <c r="O7" i="27" l="1"/>
  <c r="O13" i="27" s="1"/>
  <c r="O19" i="27" s="1"/>
  <c r="I72" i="23"/>
  <c r="I74" i="23"/>
  <c r="I82" i="23" s="1"/>
  <c r="I84" i="23" s="1"/>
  <c r="I85" i="23" s="1"/>
  <c r="L27" i="23"/>
  <c r="L39" i="23"/>
  <c r="L74" i="23"/>
  <c r="L82" i="23" s="1"/>
  <c r="L84" i="23" s="1"/>
  <c r="Y83" i="8"/>
  <c r="Y40" i="8"/>
  <c r="L85" i="23" l="1"/>
  <c r="L72" i="23"/>
  <c r="Y93" i="8"/>
  <c r="Y95" i="8" s="1"/>
  <c r="J80" i="18"/>
  <c r="Z39" i="8"/>
  <c r="V39" i="8"/>
  <c r="P7" i="27" l="1"/>
  <c r="P13" i="27" s="1"/>
  <c r="P19" i="27" s="1"/>
  <c r="D69" i="19" l="1"/>
  <c r="D77" i="19" s="1"/>
  <c r="D79" i="19" s="1"/>
  <c r="C23" i="23"/>
  <c r="C26" i="23" s="1"/>
  <c r="D80" i="19" l="1"/>
  <c r="C27" i="23"/>
  <c r="C32" i="23" l="1"/>
  <c r="C34" i="23" s="1"/>
  <c r="F13" i="27" l="1"/>
  <c r="F19" i="27" s="1"/>
  <c r="G7" i="27"/>
  <c r="G13" i="27" s="1"/>
  <c r="G19" i="27" s="1"/>
  <c r="E5" i="28"/>
  <c r="E9" i="28" s="1"/>
  <c r="E15" i="28" s="1"/>
  <c r="C38" i="23"/>
  <c r="C71" i="23" s="1"/>
  <c r="C74" i="23" s="1"/>
  <c r="C82" i="23" s="1"/>
  <c r="C84" i="23" s="1"/>
  <c r="C72" i="23" l="1"/>
  <c r="C85" i="23" l="1"/>
  <c r="D13" i="27"/>
  <c r="D19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Gilhuly</author>
  </authors>
  <commentList>
    <comment ref="N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Shawn Gilhuly:</t>
        </r>
        <r>
          <rPr>
            <sz val="9"/>
            <color indexed="81"/>
            <rFont val="Tahoma"/>
            <family val="2"/>
          </rPr>
          <t xml:space="preserve">
2021 Budgeted labour expenses for MSP including benefits + prorated non labour expenses + expenses from 6105 (Property)</t>
        </r>
      </text>
    </comment>
    <comment ref="N3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Shawn Gilhuly:</t>
        </r>
        <r>
          <rPr>
            <sz val="9"/>
            <color indexed="81"/>
            <rFont val="Tahoma"/>
            <family val="2"/>
          </rPr>
          <t xml:space="preserve">
Wendy + Moira + Donation expenses</t>
        </r>
      </text>
    </comment>
    <comment ref="G13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Shawn Gilhuly:</t>
        </r>
        <r>
          <rPr>
            <sz val="9"/>
            <color indexed="81"/>
            <rFont val="Tahoma"/>
            <family val="2"/>
          </rPr>
          <t xml:space="preserve">
2021 Budgeted labour expenses for MSP including benefits + prorated non labour expenses + expenses from 6105 (Property)</t>
        </r>
      </text>
    </comment>
    <comment ref="G14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Shawn Gilhuly:</t>
        </r>
        <r>
          <rPr>
            <sz val="9"/>
            <color indexed="81"/>
            <rFont val="Tahoma"/>
            <family val="2"/>
          </rPr>
          <t xml:space="preserve">
Wendy + Moira + Donation expenses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Gilhuly</author>
  </authors>
  <commentList>
    <comment ref="N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Shawn Gilhuly:</t>
        </r>
        <r>
          <rPr>
            <sz val="9"/>
            <color indexed="81"/>
            <rFont val="Tahoma"/>
            <family val="2"/>
          </rPr>
          <t xml:space="preserve">
2021 Budgeted labour expenses for MSP including benefits + prorated non labour expenses + expenses from 6105 (Property)</t>
        </r>
      </text>
    </comment>
    <comment ref="N3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Shawn Gilhuly:</t>
        </r>
        <r>
          <rPr>
            <sz val="9"/>
            <color indexed="81"/>
            <rFont val="Tahoma"/>
            <family val="2"/>
          </rPr>
          <t xml:space="preserve">
Wendy + Moira + Donation expenses</t>
        </r>
      </text>
    </comment>
    <comment ref="G13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Shawn Gilhuly:</t>
        </r>
        <r>
          <rPr>
            <sz val="9"/>
            <color indexed="81"/>
            <rFont val="Tahoma"/>
            <family val="2"/>
          </rPr>
          <t xml:space="preserve">
2021 Budgeted labour expenses for MSP including benefits + prorated non labour expenses + expenses from 6105 (Property)</t>
        </r>
      </text>
    </comment>
    <comment ref="G144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Shawn Gilhuly:</t>
        </r>
        <r>
          <rPr>
            <sz val="9"/>
            <color indexed="81"/>
            <rFont val="Tahoma"/>
            <family val="2"/>
          </rPr>
          <t xml:space="preserve">
Wendy + Moira + Donation expenses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Gilhuly</author>
  </authors>
  <commentList>
    <comment ref="H9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Shawn Gilhuly:</t>
        </r>
        <r>
          <rPr>
            <sz val="9"/>
            <color indexed="81"/>
            <rFont val="Tahoma"/>
            <family val="2"/>
          </rPr>
          <t xml:space="preserve">
Represents Oxfords contribution to Reach Out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leroy innanen</author>
    <author>Matt Collins</author>
  </authors>
  <commentList>
    <comment ref="F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Dana Innanen:</t>
        </r>
        <r>
          <rPr>
            <sz val="9"/>
            <color indexed="81"/>
            <rFont val="Tahoma"/>
            <family val="2"/>
          </rPr>
          <t xml:space="preserve">
This was CHPI on CMHA-Elgin.  Okay that I change it</t>
        </r>
      </text>
    </comment>
    <comment ref="C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Dana Innanen:</t>
        </r>
        <r>
          <rPr>
            <sz val="9"/>
            <color indexed="81"/>
            <rFont val="Tahoma"/>
            <family val="2"/>
          </rPr>
          <t xml:space="preserve">
This figure comes from Baord report Dec 19 Full year forecast on the Oxford board report</t>
        </r>
      </text>
    </comment>
    <comment ref="B32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Matt Collins:</t>
        </r>
        <r>
          <rPr>
            <sz val="9"/>
            <color indexed="81"/>
            <rFont val="Tahoma"/>
            <family val="2"/>
          </rPr>
          <t xml:space="preserve">
Corporate Training
</t>
        </r>
      </text>
    </comment>
    <comment ref="I32" authorId="1" shapeId="0" xr:uid="{00000000-0006-0000-0500-000004000000}">
      <text>
        <r>
          <rPr>
            <b/>
            <sz val="9"/>
            <color indexed="81"/>
            <rFont val="Tahoma"/>
            <family val="2"/>
          </rPr>
          <t>Matt Collins:</t>
        </r>
        <r>
          <rPr>
            <sz val="9"/>
            <color indexed="81"/>
            <rFont val="Tahoma"/>
            <family val="2"/>
          </rPr>
          <t xml:space="preserve">
Corporate Training
</t>
        </r>
      </text>
    </comment>
    <comment ref="M32" authorId="1" shapeId="0" xr:uid="{00000000-0006-0000-0500-000005000000}">
      <text>
        <r>
          <rPr>
            <b/>
            <sz val="9"/>
            <color indexed="81"/>
            <rFont val="Tahoma"/>
            <family val="2"/>
          </rPr>
          <t>Matt Collins:</t>
        </r>
        <r>
          <rPr>
            <sz val="9"/>
            <color indexed="81"/>
            <rFont val="Tahoma"/>
            <family val="2"/>
          </rPr>
          <t xml:space="preserve">
Corporate Training
</t>
        </r>
      </text>
    </comment>
    <comment ref="B35" authorId="1" shapeId="0" xr:uid="{00000000-0006-0000-0500-000006000000}">
      <text>
        <r>
          <rPr>
            <b/>
            <sz val="9"/>
            <color indexed="81"/>
            <rFont val="Tahoma"/>
            <family val="2"/>
          </rPr>
          <t>Matt Collins:</t>
        </r>
        <r>
          <rPr>
            <sz val="9"/>
            <color indexed="81"/>
            <rFont val="Tahoma"/>
            <family val="2"/>
          </rPr>
          <t xml:space="preserve">
Interest earned on banking accounts
</t>
        </r>
      </text>
    </comment>
    <comment ref="I35" authorId="1" shapeId="0" xr:uid="{00000000-0006-0000-0500-000007000000}">
      <text>
        <r>
          <rPr>
            <b/>
            <sz val="9"/>
            <color indexed="81"/>
            <rFont val="Tahoma"/>
            <family val="2"/>
          </rPr>
          <t>Matt Collins:</t>
        </r>
        <r>
          <rPr>
            <sz val="9"/>
            <color indexed="81"/>
            <rFont val="Tahoma"/>
            <family val="2"/>
          </rPr>
          <t xml:space="preserve">
Interest earned on banking accounts
</t>
        </r>
      </text>
    </comment>
    <comment ref="M35" authorId="1" shapeId="0" xr:uid="{00000000-0006-0000-0500-000008000000}">
      <text>
        <r>
          <rPr>
            <b/>
            <sz val="9"/>
            <color indexed="81"/>
            <rFont val="Tahoma"/>
            <family val="2"/>
          </rPr>
          <t>Matt Collins:</t>
        </r>
        <r>
          <rPr>
            <sz val="9"/>
            <color indexed="81"/>
            <rFont val="Tahoma"/>
            <family val="2"/>
          </rPr>
          <t xml:space="preserve">
Interest earned on banking accounts
</t>
        </r>
      </text>
    </comment>
    <comment ref="B38" authorId="1" shapeId="0" xr:uid="{00000000-0006-0000-0500-000009000000}">
      <text>
        <r>
          <rPr>
            <b/>
            <sz val="9"/>
            <color indexed="81"/>
            <rFont val="Tahoma"/>
            <family val="2"/>
          </rPr>
          <t>Matt Collins:</t>
        </r>
        <r>
          <rPr>
            <sz val="9"/>
            <color indexed="81"/>
            <rFont val="Tahoma"/>
            <family val="2"/>
          </rPr>
          <t xml:space="preserve">
Elgin staffing - 266,300
Reach out - $112,811
</t>
        </r>
      </text>
    </comment>
    <comment ref="I38" authorId="1" shapeId="0" xr:uid="{00000000-0006-0000-0500-00000A000000}">
      <text>
        <r>
          <rPr>
            <b/>
            <sz val="9"/>
            <color indexed="81"/>
            <rFont val="Tahoma"/>
            <family val="2"/>
          </rPr>
          <t>Matt Collins:</t>
        </r>
        <r>
          <rPr>
            <sz val="9"/>
            <color indexed="81"/>
            <rFont val="Tahoma"/>
            <family val="2"/>
          </rPr>
          <t xml:space="preserve">
Elgin staffing - 266,300
Reach out - $112,811
</t>
        </r>
      </text>
    </comment>
    <comment ref="M38" authorId="1" shapeId="0" xr:uid="{00000000-0006-0000-0500-00000B000000}">
      <text>
        <r>
          <rPr>
            <b/>
            <sz val="9"/>
            <color indexed="81"/>
            <rFont val="Tahoma"/>
            <family val="2"/>
          </rPr>
          <t>Matt Collins:</t>
        </r>
        <r>
          <rPr>
            <sz val="9"/>
            <color indexed="81"/>
            <rFont val="Tahoma"/>
            <family val="2"/>
          </rPr>
          <t xml:space="preserve">
Elgin staffing - 266,300
Reach out - $112,811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leroy innanen</author>
  </authors>
  <commentList>
    <comment ref="F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Dana Innanen:</t>
        </r>
        <r>
          <rPr>
            <sz val="9"/>
            <color indexed="81"/>
            <rFont val="Tahoma"/>
            <family val="2"/>
          </rPr>
          <t xml:space="preserve">
This was CHPI on CMHA-Elgin.  Okay that I change it</t>
        </r>
      </text>
    </comment>
    <comment ref="C9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Dana Innanen:</t>
        </r>
        <r>
          <rPr>
            <sz val="9"/>
            <color indexed="81"/>
            <rFont val="Tahoma"/>
            <family val="2"/>
          </rPr>
          <t xml:space="preserve">
This figure comes from Baord report Dec 19 Full year forecast on the Oxford board report</t>
        </r>
      </text>
    </comment>
    <comment ref="C122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Dana Innanen:</t>
        </r>
        <r>
          <rPr>
            <sz val="9"/>
            <color indexed="81"/>
            <rFont val="Tahoma"/>
            <family val="2"/>
          </rPr>
          <t xml:space="preserve">
Q3 Admin salaries from Oxford Board Report per CAPS Q3 report</t>
        </r>
      </text>
    </comment>
    <comment ref="C123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Dana Innanen:</t>
        </r>
        <r>
          <rPr>
            <sz val="9"/>
            <color indexed="81"/>
            <rFont val="Tahoma"/>
            <family val="2"/>
          </rPr>
          <t xml:space="preserve">
$3,313,783 is full year forecast salaries and benefits for LHIN from Oxford board report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Sheryl Blair</author>
  </authors>
  <commentList>
    <comment ref="B4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Sheryl Blair:</t>
        </r>
        <r>
          <rPr>
            <sz val="9"/>
            <color indexed="81"/>
            <rFont val="Tahoma"/>
            <family val="2"/>
          </rPr>
          <t xml:space="preserve">
In year reallocation for staff training
</t>
        </r>
      </text>
    </comment>
    <comment ref="B45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Sheryl Blair:</t>
        </r>
        <r>
          <rPr>
            <sz val="9"/>
            <color indexed="81"/>
            <rFont val="Tahoma"/>
            <family val="2"/>
          </rPr>
          <t xml:space="preserve">
In year reallocation to fund ECDAS and CDAS 
</t>
        </r>
      </text>
    </comment>
    <comment ref="B54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Sheryl Blair:</t>
        </r>
        <r>
          <rPr>
            <sz val="9"/>
            <color indexed="81"/>
            <rFont val="Tahoma"/>
            <family val="2"/>
          </rPr>
          <t xml:space="preserve">
In-Year reallocation to purchase equipment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leroy innanen</author>
  </authors>
  <commentList>
    <comment ref="F6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Dana Innanen:</t>
        </r>
        <r>
          <rPr>
            <sz val="9"/>
            <color indexed="81"/>
            <rFont val="Tahoma"/>
            <family val="2"/>
          </rPr>
          <t xml:space="preserve">
This was CHPI on CMHA-Elgin.  Okay that I change it</t>
        </r>
      </text>
    </comment>
    <comment ref="C9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Dana Innanen:</t>
        </r>
        <r>
          <rPr>
            <sz val="9"/>
            <color indexed="81"/>
            <rFont val="Tahoma"/>
            <family val="2"/>
          </rPr>
          <t xml:space="preserve">
This figure comes from Baord report Dec 19 Full year forecast on the Oxford board report</t>
        </r>
      </text>
    </comment>
    <comment ref="C121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Dana Innanen:</t>
        </r>
        <r>
          <rPr>
            <sz val="9"/>
            <color indexed="81"/>
            <rFont val="Tahoma"/>
            <family val="2"/>
          </rPr>
          <t xml:space="preserve">
Q3 Admin salaries from Oxford Board Report per CAPS Q3 report</t>
        </r>
      </text>
    </comment>
    <comment ref="C122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Dana Innanen:</t>
        </r>
        <r>
          <rPr>
            <sz val="9"/>
            <color indexed="81"/>
            <rFont val="Tahoma"/>
            <family val="2"/>
          </rPr>
          <t xml:space="preserve">
$3,313,783 is full year forecast salaries and benefits for LHIN from Oxford board report</t>
        </r>
      </text>
    </comment>
  </commentList>
</comments>
</file>

<file path=xl/sharedStrings.xml><?xml version="1.0" encoding="utf-8"?>
<sst xmlns="http://schemas.openxmlformats.org/spreadsheetml/2006/main" count="12549" uniqueCount="2886">
  <si>
    <t>Income Statement</t>
  </si>
  <si>
    <t>2019/20Forecast (historical)</t>
  </si>
  <si>
    <t xml:space="preserve">2020/21    Base Year </t>
  </si>
  <si>
    <t>2021/22 Forecast</t>
  </si>
  <si>
    <t>2021/22 Change $</t>
  </si>
  <si>
    <t>2021/22 Notes</t>
  </si>
  <si>
    <t>2022/23 Forecast</t>
  </si>
  <si>
    <t>2022/23 Change $</t>
  </si>
  <si>
    <t>2022/23 Notes</t>
  </si>
  <si>
    <t>2023/24 Forecast</t>
  </si>
  <si>
    <t>2023/24 Additions $</t>
  </si>
  <si>
    <t>2023/24 Notes</t>
  </si>
  <si>
    <t>2024/25 Forecast</t>
  </si>
  <si>
    <t>2024/25 Additions $</t>
  </si>
  <si>
    <t>2024/25 Notes</t>
  </si>
  <si>
    <t>REVENUE</t>
  </si>
  <si>
    <t>Ministry Funding (MoH)</t>
  </si>
  <si>
    <t>Operating Funds</t>
  </si>
  <si>
    <t>Partner Facility Renewal</t>
  </si>
  <si>
    <t>Total Ministry Funding</t>
  </si>
  <si>
    <t>Ministry Funding (MCCSS)</t>
  </si>
  <si>
    <t>Ministry Funding (Municipal)</t>
  </si>
  <si>
    <t>Ministry Funding (UW)</t>
  </si>
  <si>
    <t>Other Government Funding</t>
  </si>
  <si>
    <t>Total Government Funding</t>
  </si>
  <si>
    <t>Fee-For-Service</t>
  </si>
  <si>
    <t>Client Rental Income</t>
  </si>
  <si>
    <t>Donations &amp; Fundraising</t>
  </si>
  <si>
    <t>Investment Income-Realized</t>
  </si>
  <si>
    <t>Investment Income-Unrealized</t>
  </si>
  <si>
    <t>Grants</t>
  </si>
  <si>
    <t>Other Revenue</t>
  </si>
  <si>
    <t>Deferred Revenue Amortization</t>
  </si>
  <si>
    <t>Total Revenue</t>
  </si>
  <si>
    <t>EXPENDITURES</t>
  </si>
  <si>
    <t>Wages and Benefits:</t>
  </si>
  <si>
    <t>Management and Admin Support Wages</t>
  </si>
  <si>
    <t>Program Wages</t>
  </si>
  <si>
    <t>Vacation Accrual Adjustment</t>
  </si>
  <si>
    <t>Total Wages</t>
  </si>
  <si>
    <t>Benefits</t>
  </si>
  <si>
    <t>Total Wages &amp; Benefits</t>
  </si>
  <si>
    <t>Travel and Communications:</t>
  </si>
  <si>
    <t>Travel</t>
  </si>
  <si>
    <t>Communications</t>
  </si>
  <si>
    <t>Total Travel and Communications</t>
  </si>
  <si>
    <t>Services:</t>
  </si>
  <si>
    <t>Rent/Lease/Mortgage Interest</t>
  </si>
  <si>
    <t>Utilities</t>
  </si>
  <si>
    <t>Staff Training</t>
  </si>
  <si>
    <t>Advertising and Promotion</t>
  </si>
  <si>
    <t>Services Related to Repairs and Maintenance</t>
  </si>
  <si>
    <t>Professional/Contracted-Out Services</t>
  </si>
  <si>
    <t>Professional/Contracted-Out IT Services</t>
  </si>
  <si>
    <t>Purchased Client Services</t>
  </si>
  <si>
    <t>Insurance</t>
  </si>
  <si>
    <t>Other Services</t>
  </si>
  <si>
    <t>Total Services</t>
  </si>
  <si>
    <t>Supplies and Equipment:</t>
  </si>
  <si>
    <t>Supplies, Equipment Related to Repairs and Maintenance</t>
  </si>
  <si>
    <t>IT Supplies and Equipment</t>
  </si>
  <si>
    <t>Food</t>
  </si>
  <si>
    <t>Other Supplies and Equipment</t>
  </si>
  <si>
    <t>Program Expenses and Replacements</t>
  </si>
  <si>
    <t>Total Supplies and Equipment</t>
  </si>
  <si>
    <t>Amortization</t>
  </si>
  <si>
    <t>Scholarships and Awards</t>
  </si>
  <si>
    <t>Total Expenditures</t>
  </si>
  <si>
    <t>Excess (Deficiency) of Revenues Over Expenditures From Operations</t>
  </si>
  <si>
    <t>UNUSUAL ITEMS AND ADJUSTMENTS</t>
  </si>
  <si>
    <t>Gain (Loss) on Disposals</t>
  </si>
  <si>
    <t>Dissolution of London Cares</t>
  </si>
  <si>
    <t>Repayable to Ministry</t>
  </si>
  <si>
    <t>Other [Describe]</t>
  </si>
  <si>
    <t>Excess (Deficiency) of Revenues Over Expenditures</t>
  </si>
  <si>
    <t>Net Excess (Deficiency) of Related Companies</t>
  </si>
  <si>
    <t>Combined Excess (Deficiency) of Revenues Over Expenditures</t>
  </si>
  <si>
    <t>Revenue</t>
  </si>
  <si>
    <t>Ministry of Health and Long-Term Care (LHIN)</t>
  </si>
  <si>
    <t>Ministry of Health - Housing division</t>
  </si>
  <si>
    <t>Early Psychosis Accord funding</t>
  </si>
  <si>
    <t>Expenditures</t>
  </si>
  <si>
    <t>Members travel</t>
  </si>
  <si>
    <t>Staff travel</t>
  </si>
  <si>
    <t>Interest on long-term debt</t>
  </si>
  <si>
    <t>Rent</t>
  </si>
  <si>
    <t>Bad debts</t>
  </si>
  <si>
    <t>Bank charges</t>
  </si>
  <si>
    <t>Municipal taxes</t>
  </si>
  <si>
    <t>Salt Creek Market expenses</t>
  </si>
  <si>
    <t>Miscellaneous</t>
  </si>
  <si>
    <t>Office and postage</t>
  </si>
  <si>
    <t>Program supplies</t>
  </si>
  <si>
    <t>Professional services</t>
  </si>
  <si>
    <t>Sessional fees</t>
  </si>
  <si>
    <t>Fundraising and donations</t>
  </si>
  <si>
    <t>Other income</t>
  </si>
  <si>
    <t>Expenses</t>
  </si>
  <si>
    <t>Bank charges and interest</t>
  </si>
  <si>
    <t>Minor capital</t>
  </si>
  <si>
    <t>Fundraising</t>
  </si>
  <si>
    <t>MHeart</t>
  </si>
  <si>
    <t>Other services</t>
  </si>
  <si>
    <t>Interest on long term debt</t>
  </si>
  <si>
    <t>Meetings</t>
  </si>
  <si>
    <t>Membership fees</t>
  </si>
  <si>
    <t>Training</t>
  </si>
  <si>
    <t>Consulting fees</t>
  </si>
  <si>
    <t>Professional fees</t>
  </si>
  <si>
    <t>FY Forecast 2019-20</t>
  </si>
  <si>
    <t>2020-21 % change</t>
  </si>
  <si>
    <t>20-21 Specific change</t>
  </si>
  <si>
    <t>20-21 notes</t>
  </si>
  <si>
    <t>2021-22 % change</t>
  </si>
  <si>
    <t>21-22 Specific change</t>
  </si>
  <si>
    <t>21-22 notes</t>
  </si>
  <si>
    <t>2022-23 % change</t>
  </si>
  <si>
    <t>22-23 Specific change</t>
  </si>
  <si>
    <t>22-23 notes</t>
  </si>
  <si>
    <t>2023-24 % change</t>
  </si>
  <si>
    <t>23-24 Specific change</t>
  </si>
  <si>
    <t>23-24 notes</t>
  </si>
  <si>
    <t>2024-25 % change</t>
  </si>
  <si>
    <t>24-25 Specific change</t>
  </si>
  <si>
    <t>24-25 notes</t>
  </si>
  <si>
    <t>LHIN</t>
  </si>
  <si>
    <t>CHO</t>
  </si>
  <si>
    <t>MOHLTC Housing</t>
  </si>
  <si>
    <t>CHPI Housing</t>
  </si>
  <si>
    <t>Other Fund 3</t>
  </si>
  <si>
    <t>Overall Total</t>
  </si>
  <si>
    <t>Summary Income Statement</t>
  </si>
  <si>
    <t>Compensation</t>
  </si>
  <si>
    <t>Sessional Fees</t>
  </si>
  <si>
    <t>Landlord Rent</t>
  </si>
  <si>
    <t>Other Expenses</t>
  </si>
  <si>
    <t>Total Expenses</t>
  </si>
  <si>
    <t>Surplus / deficit</t>
  </si>
  <si>
    <t>13a</t>
  </si>
  <si>
    <t>Other Transfer to Replacement Reserve Fund</t>
  </si>
  <si>
    <t>Ministry (MOH) funding</t>
  </si>
  <si>
    <t>CHO revenue to LHIN</t>
  </si>
  <si>
    <t>Municipal funding</t>
  </si>
  <si>
    <t>Client rent revenue</t>
  </si>
  <si>
    <t>Fundraising revenue</t>
  </si>
  <si>
    <t>Other revenue</t>
  </si>
  <si>
    <t>balance check s/b zero</t>
  </si>
  <si>
    <t>Benefit adjustment</t>
  </si>
  <si>
    <t>Year-end spending available at Q3</t>
  </si>
  <si>
    <t>Spending estimate</t>
  </si>
  <si>
    <t>Estimated repayable</t>
  </si>
  <si>
    <t>OXFORD  2019</t>
  </si>
  <si>
    <t>OXFORD  2020</t>
  </si>
  <si>
    <t>OXFORD  2021</t>
  </si>
  <si>
    <t>OXFORD  2022</t>
  </si>
  <si>
    <t>OXFORD  2023</t>
  </si>
  <si>
    <t>OXFORD  2024</t>
  </si>
  <si>
    <t>OXFORD  2025</t>
  </si>
  <si>
    <t>MHeart  Housing</t>
  </si>
  <si>
    <t>Benefit load</t>
  </si>
  <si>
    <t>Consulting Fees</t>
  </si>
  <si>
    <t>This amount is transferred from ADSTV Foundation to ADSTV to offset costs of Communications &amp; Community Engagement Coordinator position</t>
  </si>
  <si>
    <t>We wouldn't normally increase the staff training allocation per year. This would be one of the lines in which we would take dollars from in case of projected year end deficit.</t>
  </si>
  <si>
    <t>We wouldn't normally increase the advertising per year. This would be one of the lines in which we would take dollars from in case of projected year end deficit.</t>
  </si>
  <si>
    <t>5-year contract signed in 2020</t>
  </si>
  <si>
    <t>Office supplies, meetings expenses, volunteer expenses</t>
  </si>
  <si>
    <t>$125,000 of this is Housing Allowances that is 100% reimbursed by the City of London. The cost of living increase is not applicable on this amount.</t>
  </si>
  <si>
    <t>This line was a one-time expense in 2018-2019 only</t>
  </si>
  <si>
    <t>Total 5 year Plan - Elgin-Middlesex, Oxford, ADSTV</t>
  </si>
  <si>
    <t>Review notes</t>
  </si>
  <si>
    <t>Date</t>
  </si>
  <si>
    <t>Reviewer</t>
  </si>
  <si>
    <t>Worksheet</t>
  </si>
  <si>
    <t>Reference</t>
  </si>
  <si>
    <t>Review Notes</t>
  </si>
  <si>
    <t>Cleared comment</t>
  </si>
  <si>
    <t>Who</t>
  </si>
  <si>
    <t>When</t>
  </si>
  <si>
    <t>Workbook</t>
  </si>
  <si>
    <t>Leroy</t>
  </si>
  <si>
    <t>Consolidated Intgegrated Group 5 Year Forecasts 200218</t>
  </si>
  <si>
    <t>Detailed Support - Middlesex</t>
  </si>
  <si>
    <t>row 5</t>
  </si>
  <si>
    <t>change oxford to middlesex</t>
  </si>
  <si>
    <t>Detailed Support - ADSTV</t>
  </si>
  <si>
    <t>although currently not used change oxford to ADSTV</t>
  </si>
  <si>
    <t>create the sheet to match base financials that show the % increases each year - copy comments from base financials to detailed support - call to discuss</t>
  </si>
  <si>
    <t>Base Financial total</t>
  </si>
  <si>
    <t>put in some balacne checks to ensure  total revenue, toal expense, total surplys/deficit is sum of sheets - something does not work presently</t>
  </si>
  <si>
    <t>Middlesex  2019</t>
  </si>
  <si>
    <t>Middlesex  2020</t>
  </si>
  <si>
    <t>Middlesex  2021</t>
  </si>
  <si>
    <t>Middlesex  2022</t>
  </si>
  <si>
    <t>Middlesex  2023</t>
  </si>
  <si>
    <t>Middlesex  2024</t>
  </si>
  <si>
    <t>Middlesex  2025</t>
  </si>
  <si>
    <t>ADSTV  2019</t>
  </si>
  <si>
    <t>ADSTV  2020</t>
  </si>
  <si>
    <t>ADSTV  2021</t>
  </si>
  <si>
    <t>ADSTV  2022</t>
  </si>
  <si>
    <t>ADSTV  2023</t>
  </si>
  <si>
    <t>ADSTV  2024</t>
  </si>
  <si>
    <t>ADSTV  2025</t>
  </si>
  <si>
    <t>2019/20 Forecast (historical)</t>
  </si>
  <si>
    <t>Sessional Funding</t>
  </si>
  <si>
    <t>Paymaster funding</t>
  </si>
  <si>
    <t>Flow thru Funding</t>
  </si>
  <si>
    <t>Sessionals</t>
  </si>
  <si>
    <t>Deficit before harmonization</t>
  </si>
  <si>
    <t xml:space="preserve">Harmonization expenses </t>
  </si>
  <si>
    <t>Oxford</t>
  </si>
  <si>
    <t>ASDTV</t>
  </si>
  <si>
    <t>Other sources of revenue - social enterprise, growth, optimization</t>
  </si>
  <si>
    <t>Operational expense savings due to procurement arrangements, economies of scale (2% factor)</t>
  </si>
  <si>
    <t>TBD</t>
  </si>
  <si>
    <t>2020-2021</t>
  </si>
  <si>
    <t>2021-2022</t>
  </si>
  <si>
    <t>2022-2023</t>
  </si>
  <si>
    <t>Elgin-Middlesex</t>
  </si>
  <si>
    <t>Net Deficit  - Elgin Middlesex</t>
  </si>
  <si>
    <t>Forcasted deficit - all organizations</t>
  </si>
  <si>
    <t>Mitigating Factors - Elgin-Middlesex</t>
  </si>
  <si>
    <t>Year to year change</t>
  </si>
  <si>
    <t>Fiscal 21 - 22</t>
  </si>
  <si>
    <t>Revenues nil change; 1% increase to wages and 2% to all other expenses</t>
  </si>
  <si>
    <t>Fiscal 22-23</t>
  </si>
  <si>
    <t>Revenues nil change; Middlesex 2% vacancy factor applied to Wages, partially offset by 1% CPI increase for a net of 1% equals approx. $135k expense reduction, offset by 2% assumption for increase to expenses (incl. benefits) for both M&amp;E</t>
  </si>
  <si>
    <t>Revenue nil change; M vacancy and cpi equal hence no M wage change; 2% increase to all other expenses for both M&amp;E equals approx. $</t>
  </si>
  <si>
    <t>Quick&amp;dirty math - $10 million wages (excl. M) at 1% increase plus $16 million other expenses at 2% equals $420k increase</t>
  </si>
  <si>
    <t xml:space="preserve"> </t>
  </si>
  <si>
    <t>CMHA-(Canadian Mental Health Association)</t>
  </si>
  <si>
    <t>Trial Balance</t>
  </si>
  <si>
    <t>As at January 31, 2020</t>
  </si>
  <si>
    <t>Ministry Accounts</t>
  </si>
  <si>
    <t>Jan actual</t>
  </si>
  <si>
    <t>Jan Budget</t>
  </si>
  <si>
    <t>19 20 Budget</t>
  </si>
  <si>
    <t>20 21 Budget</t>
  </si>
  <si>
    <t>Variance</t>
  </si>
  <si>
    <t>WOTCH ACCT</t>
  </si>
  <si>
    <t>Primary Account</t>
  </si>
  <si>
    <t>Secondary Account</t>
  </si>
  <si>
    <t>4010-1100-4000</t>
  </si>
  <si>
    <t>82 9 11</t>
  </si>
  <si>
    <t>1 10 06</t>
  </si>
  <si>
    <t>Grants - Continuing - LHIN</t>
  </si>
  <si>
    <t>4010-2210-6100</t>
  </si>
  <si>
    <t>73 5 51 76 20</t>
  </si>
  <si>
    <t>1 10 45</t>
  </si>
  <si>
    <t>Grants - Continuing - UW Family Support</t>
  </si>
  <si>
    <t>4010-3110-6100</t>
  </si>
  <si>
    <t>73 5 50 76 30</t>
  </si>
  <si>
    <t>Grants - Continuing - UW Drop In - MSP</t>
  </si>
  <si>
    <t>4010-3110-6300</t>
  </si>
  <si>
    <t>1 10 40</t>
  </si>
  <si>
    <t>Grants - Continuing - CHPI MSP</t>
  </si>
  <si>
    <t>4010-3120-6100</t>
  </si>
  <si>
    <t>73 5 10 76 41</t>
  </si>
  <si>
    <t>Grants - Continuing - UW Drop-In - Coffee House</t>
  </si>
  <si>
    <t>4010-3300-7030</t>
  </si>
  <si>
    <t>73 5 40 76 50</t>
  </si>
  <si>
    <t>Grants - Continuing - Huron County Rent Supplements</t>
  </si>
  <si>
    <t>4010-4100-5410</t>
  </si>
  <si>
    <t>72 5 40 76 50</t>
  </si>
  <si>
    <t>1 10 14</t>
  </si>
  <si>
    <t>Grants - Continuing - MOH Homelessness</t>
  </si>
  <si>
    <t>4010-4100-5420</t>
  </si>
  <si>
    <t xml:space="preserve">72 5 40 76 50_x000D_
</t>
  </si>
  <si>
    <t>Grants - Continuing - MOH Addictions</t>
  </si>
  <si>
    <t>4010-4100-5430</t>
  </si>
  <si>
    <t>Grants - Continuing - MOH MH&amp;A 1,000</t>
  </si>
  <si>
    <t>4010-4100-5431</t>
  </si>
  <si>
    <t>Grants - Continuing - MOH MH&amp;A 1,150</t>
  </si>
  <si>
    <t>4010-4100-5440</t>
  </si>
  <si>
    <t>Grants - Continuing - MOH Justice Supplement</t>
  </si>
  <si>
    <t>4010-4100-6200</t>
  </si>
  <si>
    <t>Grants - Continuing - City of London Rent Subsidies</t>
  </si>
  <si>
    <t>4010-4210-6300</t>
  </si>
  <si>
    <t>Grants - Continuing - CHPI Housing First</t>
  </si>
  <si>
    <t>4010-4221-5500</t>
  </si>
  <si>
    <t>72 5 40 76 30</t>
  </si>
  <si>
    <t>Grants - Continuing - MOH Transformation</t>
  </si>
  <si>
    <t>4010-4420-4100</t>
  </si>
  <si>
    <t>72 5 10 76 70</t>
  </si>
  <si>
    <t>1 10 19</t>
  </si>
  <si>
    <t>Grants - Continuing - LHIN LHSC Eating Disorders Residence</t>
  </si>
  <si>
    <t>4010-4500-5600</t>
  </si>
  <si>
    <t>72 5 40 76 10</t>
  </si>
  <si>
    <t>Grants - Continuing - MOH CHO</t>
  </si>
  <si>
    <t>4010-5160-6100</t>
  </si>
  <si>
    <t>73 5 15 10</t>
  </si>
  <si>
    <t>Grants - Continuing - UW Supportive Listening</t>
  </si>
  <si>
    <t>4010-6302-5100</t>
  </si>
  <si>
    <t>72 5 40 76 40</t>
  </si>
  <si>
    <t>Grants - Continuing - MOH Group Homes</t>
  </si>
  <si>
    <t>4010-6400-3000</t>
  </si>
  <si>
    <t>Grants - Continuing - MOH NPHP Reserves</t>
  </si>
  <si>
    <t>4010-6400-5300</t>
  </si>
  <si>
    <t>Grants - Continuing - MOH Non-Profit Housing Program</t>
  </si>
  <si>
    <t>4020-3300-7030</t>
  </si>
  <si>
    <t>73 5 51 76 11</t>
  </si>
  <si>
    <t>Grants - Term - Huron County Peer Support</t>
  </si>
  <si>
    <t>4020-4210-7010</t>
  </si>
  <si>
    <t>73 5 40 76 30</t>
  </si>
  <si>
    <t>Grants - Term - Lawson NFA</t>
  </si>
  <si>
    <t>4020-5130-7020</t>
  </si>
  <si>
    <t>73 5 15 76</t>
  </si>
  <si>
    <t>Grants - Term - LCF Vitality</t>
  </si>
  <si>
    <t>4030-1400-5000</t>
  </si>
  <si>
    <t>1 10 12</t>
  </si>
  <si>
    <t>Grants - One-Time - MOH CIRF Telephony</t>
  </si>
  <si>
    <t>4030-1800-4000</t>
  </si>
  <si>
    <t>1 10 08</t>
  </si>
  <si>
    <t>Grants - One-Time - Amalgamation</t>
  </si>
  <si>
    <t>4110-3300-7030</t>
  </si>
  <si>
    <t xml:space="preserve">1 10 90_x000D_
</t>
  </si>
  <si>
    <t>Rent Collected - Huron County Rent Supplements</t>
  </si>
  <si>
    <t>4110-4100-5410</t>
  </si>
  <si>
    <t>1 10 90</t>
  </si>
  <si>
    <t>Rent Collected - MOH Homelessness</t>
  </si>
  <si>
    <t>4110-4100-5420</t>
  </si>
  <si>
    <t>Rent Collected - MOH Addictions</t>
  </si>
  <si>
    <t>4110-4100-5431</t>
  </si>
  <si>
    <t>72 5 40 76 56</t>
  </si>
  <si>
    <t>Rent Collected - MOH MH&amp;A 1500</t>
  </si>
  <si>
    <t>4110-4100-6200</t>
  </si>
  <si>
    <t>Rent Collected - City of London Rent Subsidies</t>
  </si>
  <si>
    <t>4110-4210-6300</t>
  </si>
  <si>
    <t>Rent Collected - City of London CHIPI</t>
  </si>
  <si>
    <t>4110-4221-5500</t>
  </si>
  <si>
    <t>Rent Collected - MOH Transformation</t>
  </si>
  <si>
    <t>4110-4330-2000</t>
  </si>
  <si>
    <t>Rent Collected - Youth Apartments</t>
  </si>
  <si>
    <t>4110-4500-5600</t>
  </si>
  <si>
    <t>Rent Collected - MOH CHO</t>
  </si>
  <si>
    <t>4110-6200-5200</t>
  </si>
  <si>
    <t>Rent Collected - 281 Piccadilly Street (TRTF)</t>
  </si>
  <si>
    <t>4110-6301-5100</t>
  </si>
  <si>
    <t>Rent Collected - 14 Craig Street (TSL)</t>
  </si>
  <si>
    <t>4110-6302-5100</t>
  </si>
  <si>
    <t>Rent Collected - 36 Frank Place (CSS)</t>
  </si>
  <si>
    <t>4110-6400-5300</t>
  </si>
  <si>
    <t>Rent Collected - Non-Profit Housing Program</t>
  </si>
  <si>
    <t>4110-6401-5300</t>
  </si>
  <si>
    <t>Rent Collected - 103 River Run Terrace</t>
  </si>
  <si>
    <t>4110-6402-5300</t>
  </si>
  <si>
    <t>Rent Collected - 35 Ashley Crescent</t>
  </si>
  <si>
    <t>4110-6403-5300</t>
  </si>
  <si>
    <t>Rent Collected - 37 Ashley Crescent</t>
  </si>
  <si>
    <t>4110-6404-5300</t>
  </si>
  <si>
    <t>Rent Collected - 783 Homeview Road</t>
  </si>
  <si>
    <t>4110-6405-5300</t>
  </si>
  <si>
    <t>Rent Collected - 785 Homeview Road</t>
  </si>
  <si>
    <t>4110-6406-5300</t>
  </si>
  <si>
    <t>Rent Collected - 160 River Run Terrace</t>
  </si>
  <si>
    <t>4110-6407-5300</t>
  </si>
  <si>
    <t>Rent Collected - 108 Four Oakes Crescent (TSL)</t>
  </si>
  <si>
    <t>4110-6408-5300</t>
  </si>
  <si>
    <t>Rent Collected - 23 Forest View Circle (TSL)</t>
  </si>
  <si>
    <t>4110-6409-5300</t>
  </si>
  <si>
    <t>Rent Collected - 341 Highview Crescent (TSL)</t>
  </si>
  <si>
    <t>4110-6410-5300</t>
  </si>
  <si>
    <t>Rent Collected - 15 Ellsworth Close</t>
  </si>
  <si>
    <t>4110-6411-5300</t>
  </si>
  <si>
    <t>Rent Collected - 148 Rachel Street (TSL)</t>
  </si>
  <si>
    <t>4110-6412-5300</t>
  </si>
  <si>
    <t>Rent Collected - 210 Banbury Road</t>
  </si>
  <si>
    <t>4110-6413-5300</t>
  </si>
  <si>
    <t>Rent Collected - 212 Banbury Road</t>
  </si>
  <si>
    <t>4110-6414-5300</t>
  </si>
  <si>
    <t>Rent Collected - 889 Shelborne Street</t>
  </si>
  <si>
    <t>4110-6415-5300</t>
  </si>
  <si>
    <t>Rent Collected - 891 Shelborne Street</t>
  </si>
  <si>
    <t>4110-6416-5300</t>
  </si>
  <si>
    <t>Rent Collected - 174 Golfdale Crescent (LSRTF)</t>
  </si>
  <si>
    <t>4110-6417-5300</t>
  </si>
  <si>
    <t>Rent Collected - 35 Augusta Crescent</t>
  </si>
  <si>
    <t>4110-6418-5300</t>
  </si>
  <si>
    <t>Rent Collected - 1496 Jalna Boulevard</t>
  </si>
  <si>
    <t>4110-6419-5300</t>
  </si>
  <si>
    <t>Rent Collected - 67 Edgemere Crescent</t>
  </si>
  <si>
    <t>4110-6420-5300</t>
  </si>
  <si>
    <t>Rent Collected - 457 Cleveland Avenue</t>
  </si>
  <si>
    <t>4110-6421-5300</t>
  </si>
  <si>
    <t>Rent Collected - 119 Cecillia Avenue</t>
  </si>
  <si>
    <t>4110-6422-5300</t>
  </si>
  <si>
    <t>Rent Collected - 121 Cecillia Avenue</t>
  </si>
  <si>
    <t>4110-6423-5300</t>
  </si>
  <si>
    <t>Rent Collected - 176 Golfdale Crescent</t>
  </si>
  <si>
    <t>4110-6424-5300</t>
  </si>
  <si>
    <t>Rent Collected - 111 William Street (Exeter)</t>
  </si>
  <si>
    <t>4110-6425-5300</t>
  </si>
  <si>
    <t>Rent Collected - 91 Huron Street (Exeter)</t>
  </si>
  <si>
    <t>4110-6426-5300</t>
  </si>
  <si>
    <t>Rent Collected - 56 Main Street (Exeter)</t>
  </si>
  <si>
    <t>4110-6427-5300</t>
  </si>
  <si>
    <t>Rent Collected - 110 Victoria Street (Exeter)</t>
  </si>
  <si>
    <t>4110-6428-5300</t>
  </si>
  <si>
    <t>Rent Collected - 580 Victoria Street (Strathroy)</t>
  </si>
  <si>
    <t>4110-6501-4000</t>
  </si>
  <si>
    <t>Rent Collected - 456 Boler Road (LSRTF)</t>
  </si>
  <si>
    <t>4120-1100-1000</t>
  </si>
  <si>
    <t>73 1 10</t>
  </si>
  <si>
    <t>1 60 10</t>
  </si>
  <si>
    <t>Investment Income - Operating Fund</t>
  </si>
  <si>
    <t>4120-1500-2000</t>
  </si>
  <si>
    <t>Investment Income - Donation Fund</t>
  </si>
  <si>
    <t>4130-1600-1000</t>
  </si>
  <si>
    <t>73 5 50 76 10</t>
  </si>
  <si>
    <t>1 90 00</t>
  </si>
  <si>
    <t>Fee for Service - Corporate Training</t>
  </si>
  <si>
    <t>4130-5130-4000</t>
  </si>
  <si>
    <t>72 5 15 76</t>
  </si>
  <si>
    <t>Fee for Service - Western Housing - Crisis</t>
  </si>
  <si>
    <t>4130-6200-5200</t>
  </si>
  <si>
    <t>3 50 10</t>
  </si>
  <si>
    <t>Fee For Service - Picc Driveway Agreement</t>
  </si>
  <si>
    <t>4131-1100-1000</t>
  </si>
  <si>
    <t>Admin &amp; Management Recoveries</t>
  </si>
  <si>
    <t>4140-1100-1000</t>
  </si>
  <si>
    <t>Miscellaneous Other Revenues</t>
  </si>
  <si>
    <t>4140-1700-4000</t>
  </si>
  <si>
    <t>72 1 10</t>
  </si>
  <si>
    <t>Recoverable from CMHA Elgin</t>
  </si>
  <si>
    <t>4140-3240-4000</t>
  </si>
  <si>
    <t>72 5 10 76 40</t>
  </si>
  <si>
    <t>Recoverable from Impact Junk</t>
  </si>
  <si>
    <t>4140-5130-4000</t>
  </si>
  <si>
    <t>Recoverable from ADSTV - Addictions FTE</t>
  </si>
  <si>
    <t>4140-5170-4000</t>
  </si>
  <si>
    <t>Recoverable from CMHA Elgin/Oxford - Reach Out</t>
  </si>
  <si>
    <t>4200-1500-2000</t>
  </si>
  <si>
    <t>1 40 10</t>
  </si>
  <si>
    <t>Donations</t>
  </si>
  <si>
    <t>4200-2210-2000</t>
  </si>
  <si>
    <t>1 40 00</t>
  </si>
  <si>
    <t>Donations - Family Support</t>
  </si>
  <si>
    <t>4200-3110-2000</t>
  </si>
  <si>
    <t>Donations - MSP</t>
  </si>
  <si>
    <t>4200-3120-2000</t>
  </si>
  <si>
    <t>Donations - Coffee House</t>
  </si>
  <si>
    <t>4200-4330-2000</t>
  </si>
  <si>
    <t>Donations - Youth Apartments</t>
  </si>
  <si>
    <t>4200-5160-2000</t>
  </si>
  <si>
    <t>Donations - Support Line</t>
  </si>
  <si>
    <t>4202-1500-2000</t>
  </si>
  <si>
    <t>Donations - Defer Excess</t>
  </si>
  <si>
    <t>4400-1000-1000</t>
  </si>
  <si>
    <t>9 51 00</t>
  </si>
  <si>
    <t>Gain on Disposal</t>
  </si>
  <si>
    <t>5001-1100-4000</t>
  </si>
  <si>
    <t>3 10 10</t>
  </si>
  <si>
    <t>Wages - Permanent - Administration</t>
  </si>
  <si>
    <t>5001-1200-4000</t>
  </si>
  <si>
    <t>72 1 15</t>
  </si>
  <si>
    <t>Wages - Permanent - Finance</t>
  </si>
  <si>
    <t>5001-1300-4000</t>
  </si>
  <si>
    <t>72 1 20</t>
  </si>
  <si>
    <t>Wages - Permanent - Human Resources</t>
  </si>
  <si>
    <t>5001-1400-4000</t>
  </si>
  <si>
    <t>72 1 25</t>
  </si>
  <si>
    <t>Wages - Permanent - Information Systems &amp; Technology</t>
  </si>
  <si>
    <t>5001-1500-2000</t>
  </si>
  <si>
    <t>Wages - Permanent - Fund Development</t>
  </si>
  <si>
    <t>5001-1700-4000</t>
  </si>
  <si>
    <t>72 5 09 76</t>
  </si>
  <si>
    <t>Wages - Permanent - CMHA Elgin</t>
  </si>
  <si>
    <t>5001-2000-4000</t>
  </si>
  <si>
    <t xml:space="preserve">72 5 09 76_x000D_
</t>
  </si>
  <si>
    <t>Wages - Permanent - Clinical &amp; Case Management</t>
  </si>
  <si>
    <t>5001-2100-4000</t>
  </si>
  <si>
    <t>Wages - Permanent - Case Management</t>
  </si>
  <si>
    <t>5001-2200-4000</t>
  </si>
  <si>
    <t>72 5 10 76 30</t>
  </si>
  <si>
    <t>Wages - Permanent - Clinical</t>
  </si>
  <si>
    <t>5001-2210-2000</t>
  </si>
  <si>
    <t>Wages - Permanent - Family Support - Donation</t>
  </si>
  <si>
    <t>5001-2210-6100</t>
  </si>
  <si>
    <t>Wages - Permanent - Family Support</t>
  </si>
  <si>
    <t>5001-2300-4000</t>
  </si>
  <si>
    <t>72 5 51 76 11</t>
  </si>
  <si>
    <t>Wages - Permanent - Peer Support</t>
  </si>
  <si>
    <t>5001-2400-4000</t>
  </si>
  <si>
    <t>Wages - Permanent - Strathroy</t>
  </si>
  <si>
    <t>5001-2410-4000</t>
  </si>
  <si>
    <t>72 5 10 76 12</t>
  </si>
  <si>
    <t>Wages - Permanent - Counselling (Strathroy)</t>
  </si>
  <si>
    <t>5001-2420-4000</t>
  </si>
  <si>
    <t>Wages - Permanent - Case Management (Strathroy)</t>
  </si>
  <si>
    <t>5001-2430-4000</t>
  </si>
  <si>
    <t>72 5 10 76 81</t>
  </si>
  <si>
    <t>Wages - Permanent - Community Programs (Strathroy)</t>
  </si>
  <si>
    <t>5001-2440-4000</t>
  </si>
  <si>
    <t>Wages - Permanent - Housing (Strathroy)</t>
  </si>
  <si>
    <t>5001-2450-4000</t>
  </si>
  <si>
    <t>Wages - Permanent - Crisis Services (Strathroy)</t>
  </si>
  <si>
    <t>5001-3000-4000</t>
  </si>
  <si>
    <t xml:space="preserve">72 5 10 76 81_x000D_
</t>
  </si>
  <si>
    <t>Wages - Permanent - Community Services</t>
  </si>
  <si>
    <t>5001-3110-2000</t>
  </si>
  <si>
    <t>Wages - Permanent - My Sister's Place - Donation Fund</t>
  </si>
  <si>
    <t>5001-3110-6100</t>
  </si>
  <si>
    <t>Wages - Permanent - My Sister's Place - United Way</t>
  </si>
  <si>
    <t>5001-3110-6300</t>
  </si>
  <si>
    <t>Wages - Permanent - My Sister's Place - CHPI MSP</t>
  </si>
  <si>
    <t>5001-3210-4000</t>
  </si>
  <si>
    <t>Wages - Permanent - Community Wellness</t>
  </si>
  <si>
    <t>5001-3220-4000</t>
  </si>
  <si>
    <t>72 5 50 76 10</t>
  </si>
  <si>
    <t>Wages - Permanent - Public Education</t>
  </si>
  <si>
    <t>5001-3230-4000</t>
  </si>
  <si>
    <t>72 5 10 76 56</t>
  </si>
  <si>
    <t>Wages - Permanent - Justice &amp; Court</t>
  </si>
  <si>
    <t>5001-3240-4000</t>
  </si>
  <si>
    <t>Wages - Permanent - Vocational</t>
  </si>
  <si>
    <t>5001-3300-4000</t>
  </si>
  <si>
    <t>Wages - Permanent - Exeter &amp; Goderich</t>
  </si>
  <si>
    <t>5001-3310-4000</t>
  </si>
  <si>
    <t>Wages - Permanent - Case Management (Exeter)</t>
  </si>
  <si>
    <t>5001-3320-4000</t>
  </si>
  <si>
    <t>Wages - Permanent - Community Programs (Exeter)</t>
  </si>
  <si>
    <t>5001-3330-4000</t>
  </si>
  <si>
    <t>Wages - Permanent - Vocational (Exeter)</t>
  </si>
  <si>
    <t>5001-4000-4000</t>
  </si>
  <si>
    <t xml:space="preserve">72 5 40 76 30_x000D_
</t>
  </si>
  <si>
    <t>Wages - Permanent - Supportive Housing</t>
  </si>
  <si>
    <t>5001-4100-4000</t>
  </si>
  <si>
    <t>Wages - Permanent - Property Services</t>
  </si>
  <si>
    <t>5001-4210-4000</t>
  </si>
  <si>
    <t>Wages - Permanent - Housing First</t>
  </si>
  <si>
    <t>5001-4221-5500</t>
  </si>
  <si>
    <t>Wages - Permanent - William</t>
  </si>
  <si>
    <t>5001-4222-4000</t>
  </si>
  <si>
    <t>Wages - Permanent - Langarth</t>
  </si>
  <si>
    <t>5001-4223-4000</t>
  </si>
  <si>
    <t>Wages - Permanent - Nicole's Choice</t>
  </si>
  <si>
    <t>5001-4310-4000</t>
  </si>
  <si>
    <t>Wages - Permanent - Transitional RTF</t>
  </si>
  <si>
    <t>5001-4320-4000</t>
  </si>
  <si>
    <t>Wages - Permanent - Transitional Shared Living</t>
  </si>
  <si>
    <t>5001-4410-4000</t>
  </si>
  <si>
    <t>Wages - Permanent - Long-Stay RTF</t>
  </si>
  <si>
    <t>5001-4411-4000</t>
  </si>
  <si>
    <t>Wages - Permanent - Long Stay</t>
  </si>
  <si>
    <t>5001-4420-4100</t>
  </si>
  <si>
    <t>Wages - Permanent - Eating Disorders Residence</t>
  </si>
  <si>
    <t>5001-4500-5600</t>
  </si>
  <si>
    <t>Wages - Permanent - MOH CHO</t>
  </si>
  <si>
    <t>5001-5000-4000</t>
  </si>
  <si>
    <t xml:space="preserve">3 10 10_x000D_
</t>
  </si>
  <si>
    <t>Wages - Permanent - Crisis Services</t>
  </si>
  <si>
    <t>5001-5110-4000</t>
  </si>
  <si>
    <t>Wages - Permanent - Crisis Mobile Team</t>
  </si>
  <si>
    <t>5001-5120-4000</t>
  </si>
  <si>
    <t>Wages - Permanent - Crisis Centre First Contact</t>
  </si>
  <si>
    <t>5001-5130-4000</t>
  </si>
  <si>
    <t>Wages - Permanent - Crisis Assessment Team</t>
  </si>
  <si>
    <t>5001-5140-4000</t>
  </si>
  <si>
    <t>72 5 40 76 60</t>
  </si>
  <si>
    <t>Wages - Permanent - Crisis Stabilization Space</t>
  </si>
  <si>
    <t>5001-5150-4000</t>
  </si>
  <si>
    <t>72 5 70 10</t>
  </si>
  <si>
    <t>Wages - Permanent - Information &amp; Brief Support</t>
  </si>
  <si>
    <t>5001-5160-6100</t>
  </si>
  <si>
    <t>Wages - Permanent - Support Line</t>
  </si>
  <si>
    <t>5001-5170-4000</t>
  </si>
  <si>
    <t>Wages - Permanent - Reach Out</t>
  </si>
  <si>
    <t>5001-6400-5300</t>
  </si>
  <si>
    <t>Wages - Permanent - Non-Profit Housing Program</t>
  </si>
  <si>
    <t>5002-1100-4000</t>
  </si>
  <si>
    <t>Wages - Contract - Administration</t>
  </si>
  <si>
    <t>5002-1300-4000</t>
  </si>
  <si>
    <t>Wages - Contract - Human Resources</t>
  </si>
  <si>
    <t>5002-1500-2000</t>
  </si>
  <si>
    <t>Wages - Contract - Fund Development</t>
  </si>
  <si>
    <t>5002-2100-4000</t>
  </si>
  <si>
    <t xml:space="preserve">3 50 10_x000D_
</t>
  </si>
  <si>
    <t>Wages - Contract - Case Management</t>
  </si>
  <si>
    <t>5002-2300-4000</t>
  </si>
  <si>
    <t>Wages - Contract - Peer Support</t>
  </si>
  <si>
    <t>5002-2420-4000</t>
  </si>
  <si>
    <t>Wages - Contract - Case Managment (Strathroyj)</t>
  </si>
  <si>
    <t>5002-3110-2000</t>
  </si>
  <si>
    <t>Wages - Contract - MSP - Donation Fund</t>
  </si>
  <si>
    <t>5002-3210-4000</t>
  </si>
  <si>
    <t>Wages - Contract - Community Wellness</t>
  </si>
  <si>
    <t>5002-3300-7030</t>
  </si>
  <si>
    <t>Wages - Contract - Huron County Peer Support</t>
  </si>
  <si>
    <t>5002-4000-4000</t>
  </si>
  <si>
    <t>Wages - Contract - Supportive Housing</t>
  </si>
  <si>
    <t>5002-4210-4000</t>
  </si>
  <si>
    <t>Wages - Contract - Housing First</t>
  </si>
  <si>
    <t>5002-4210-7010</t>
  </si>
  <si>
    <t>Wages - Contract - Lawson NFA</t>
  </si>
  <si>
    <t>5002-4221-5500</t>
  </si>
  <si>
    <t>Wages - Contract - William</t>
  </si>
  <si>
    <t>5002-4222-4000</t>
  </si>
  <si>
    <t>Wages - Contract - Langarth</t>
  </si>
  <si>
    <t>5002-4223-4000</t>
  </si>
  <si>
    <t>Wages - Contract - Nicole's Choice</t>
  </si>
  <si>
    <t>5002-4310-4000</t>
  </si>
  <si>
    <t>Wages - Contract - Transitional RTF</t>
  </si>
  <si>
    <t>5002-4410-4000</t>
  </si>
  <si>
    <t>Wages - Contract - Long-Stay RTF</t>
  </si>
  <si>
    <t>5002-4420-4100</t>
  </si>
  <si>
    <t>Wages - Contract - Eating Disorders Residence</t>
  </si>
  <si>
    <t>5002-4500-5600</t>
  </si>
  <si>
    <t>Wages - Contract - MOH CHO</t>
  </si>
  <si>
    <t>5002-5110-4000</t>
  </si>
  <si>
    <t>Wages - Contract - Crisis Mobile Team</t>
  </si>
  <si>
    <t>5002-5120-4000</t>
  </si>
  <si>
    <t>Wages - Contract - Crisis Centre First Contact</t>
  </si>
  <si>
    <t>5002-5130-4000</t>
  </si>
  <si>
    <t>Wages - Contract - Crisis Assessment Team</t>
  </si>
  <si>
    <t>5002-5140-4000</t>
  </si>
  <si>
    <t>Wages - Contract - Crisis Stabilization Space</t>
  </si>
  <si>
    <t>5002-5170-4000</t>
  </si>
  <si>
    <t>Wages - Contract - Reach out</t>
  </si>
  <si>
    <t>5003-1100-4000</t>
  </si>
  <si>
    <t>Wages - Relief - Administration</t>
  </si>
  <si>
    <t>5003-2200-2000</t>
  </si>
  <si>
    <t>Wages - Clinical Relief - Donation Dollars</t>
  </si>
  <si>
    <t>5003-2200-4000</t>
  </si>
  <si>
    <t>Wages - Relief - Clinical</t>
  </si>
  <si>
    <t>5003-2210-6100</t>
  </si>
  <si>
    <t>Wages - Relief - Family Support</t>
  </si>
  <si>
    <t>5003-2300-4000</t>
  </si>
  <si>
    <t>Wages - Relief - Peer Support</t>
  </si>
  <si>
    <t>5003-2400-4000</t>
  </si>
  <si>
    <t>Wages - Relief - Strathroy</t>
  </si>
  <si>
    <t>5003-2430-4000</t>
  </si>
  <si>
    <t>Wages - Relief - Community Programs (Strathroy)</t>
  </si>
  <si>
    <t>5003-3110-2000</t>
  </si>
  <si>
    <t>Wages - Relief - My Sister's Place</t>
  </si>
  <si>
    <t>5003-3120-6100</t>
  </si>
  <si>
    <t>Wages - Relief - Coffee House</t>
  </si>
  <si>
    <t>5003-3210-4000</t>
  </si>
  <si>
    <t>Wages - Relief - Community Wellness</t>
  </si>
  <si>
    <t>5003-3320-4000</t>
  </si>
  <si>
    <t>Wages - Relief - Community Programs (Exeter)</t>
  </si>
  <si>
    <t>5003-4221-5500</t>
  </si>
  <si>
    <t>Wages - Relief - William</t>
  </si>
  <si>
    <t>5003-4223-4000</t>
  </si>
  <si>
    <t>Wages - Relief - Nicole's Choice</t>
  </si>
  <si>
    <t>5003-4310-4000</t>
  </si>
  <si>
    <t>Wages - Relief - Transitional RTF</t>
  </si>
  <si>
    <t>5003-4410-4000</t>
  </si>
  <si>
    <t>Wages - Relief - Long-Stay RTF</t>
  </si>
  <si>
    <t>5003-4411-4000</t>
  </si>
  <si>
    <t>Wages - Relief - Long Stay MS</t>
  </si>
  <si>
    <t>5003-4420-4100</t>
  </si>
  <si>
    <t>Wages - Relief - Eating Disorders Residence</t>
  </si>
  <si>
    <t>5003-4500-5600</t>
  </si>
  <si>
    <t>Wages - Relief - MOH CHO</t>
  </si>
  <si>
    <t>5003-5000-2000</t>
  </si>
  <si>
    <t>Wages - Relief - Crisis Donations</t>
  </si>
  <si>
    <t>5003-5110-4000</t>
  </si>
  <si>
    <t>Wages - Relief - Crisis Mobile Team</t>
  </si>
  <si>
    <t>5003-5120-4000</t>
  </si>
  <si>
    <t>Wages - Relief - Crisis Centre First Contact</t>
  </si>
  <si>
    <t>5003-5130-4000</t>
  </si>
  <si>
    <t>Wages - Relief - Crisis Assessment Team</t>
  </si>
  <si>
    <t>5003-5130-7020</t>
  </si>
  <si>
    <t>Wages - Relief - LCF Vitality</t>
  </si>
  <si>
    <t>5003-5140-4000</t>
  </si>
  <si>
    <t>Wages - Relief - Crisis Stabilization Space</t>
  </si>
  <si>
    <t>5003-5160-6100</t>
  </si>
  <si>
    <t>Wages - Relief - Support Line</t>
  </si>
  <si>
    <t>5003-5170-4000</t>
  </si>
  <si>
    <t>Wages - Relief - Reach Out</t>
  </si>
  <si>
    <t>5004-1100-4000</t>
  </si>
  <si>
    <t>Wages - On-Call - Manager</t>
  </si>
  <si>
    <t>5004-1400-4000</t>
  </si>
  <si>
    <t>Wages - On-Call - Information Systems &amp; Technology</t>
  </si>
  <si>
    <t>5004-2450-4000</t>
  </si>
  <si>
    <t>Wages - On-Call - Crisis Services (Strathroy)</t>
  </si>
  <si>
    <t>5011-1100-4000</t>
  </si>
  <si>
    <t>3 10 42</t>
  </si>
  <si>
    <t>MERC - CPP - Administration</t>
  </si>
  <si>
    <t>5011-1200-4000</t>
  </si>
  <si>
    <t>MERC - CPP - Finance</t>
  </si>
  <si>
    <t>5011-1300-4000</t>
  </si>
  <si>
    <t>MERC - CPP - Human Resources</t>
  </si>
  <si>
    <t>5011-1400-4000</t>
  </si>
  <si>
    <t>MERC - CPP - Information Systems &amp; Technology</t>
  </si>
  <si>
    <t>5011-1500-2000</t>
  </si>
  <si>
    <t>MERC - CPP - Fund Development</t>
  </si>
  <si>
    <t>5011-1700-4000</t>
  </si>
  <si>
    <t>MERC - CPP - CMHA Elgin</t>
  </si>
  <si>
    <t>5011-2000-4000</t>
  </si>
  <si>
    <t>MERC - CPP - Clinical &amp; Case Management</t>
  </si>
  <si>
    <t>5011-2100-4000</t>
  </si>
  <si>
    <t>3 50 42</t>
  </si>
  <si>
    <t>MERC - CPP - Case Management</t>
  </si>
  <si>
    <t>5011-2200-2000</t>
  </si>
  <si>
    <t>MERC - CPP - Clinical Donation Dollars</t>
  </si>
  <si>
    <t>5011-2200-4000</t>
  </si>
  <si>
    <t>MERC - CPP - Clinical</t>
  </si>
  <si>
    <t>5011-2210-6100</t>
  </si>
  <si>
    <t>MERC - CPP - Family Support</t>
  </si>
  <si>
    <t>5011-2300-4000</t>
  </si>
  <si>
    <t>MERC - CPP - Peer Support</t>
  </si>
  <si>
    <t>5011-2400-4000</t>
  </si>
  <si>
    <t>MERC - CPP - Strathroy</t>
  </si>
  <si>
    <t>5011-2410-4000</t>
  </si>
  <si>
    <t>MERC - CPP - Counselling (Strathroy)</t>
  </si>
  <si>
    <t>5011-2420-4000</t>
  </si>
  <si>
    <t>MERC - CPP - Case Management (Strathroy)</t>
  </si>
  <si>
    <t>5011-2430-4000</t>
  </si>
  <si>
    <t>MERC - CPP - Community Programs (Strathroy)</t>
  </si>
  <si>
    <t>5011-2440-4000</t>
  </si>
  <si>
    <t>MERC - CPP - Housing (Strathroy)</t>
  </si>
  <si>
    <t>5011-2450-4000</t>
  </si>
  <si>
    <t>MERC - CPP - Crisis Services (Strathroy)</t>
  </si>
  <si>
    <t>5011-3000-4000</t>
  </si>
  <si>
    <t xml:space="preserve">3 10 42_x000D_
</t>
  </si>
  <si>
    <t>MERC - CPP - Community Services</t>
  </si>
  <si>
    <t>5011-3110-2000</t>
  </si>
  <si>
    <t>MERC - CPP - My Sister's Place</t>
  </si>
  <si>
    <t>5011-3120-6100</t>
  </si>
  <si>
    <t>MERC - CPP - Coffee House</t>
  </si>
  <si>
    <t>5011-3210-4000</t>
  </si>
  <si>
    <t>MERC - CPP - Community Wellness</t>
  </si>
  <si>
    <t>5011-3220-4000</t>
  </si>
  <si>
    <t>MERC - CPP - Public Education</t>
  </si>
  <si>
    <t>5011-3230-4000</t>
  </si>
  <si>
    <t>MERC - CPP - Justice &amp; Court</t>
  </si>
  <si>
    <t>5011-3240-4000</t>
  </si>
  <si>
    <t>MERC - CPP - Vocational</t>
  </si>
  <si>
    <t>5011-3300-4000</t>
  </si>
  <si>
    <t>MERC - CPP - Exeter &amp; Goderich</t>
  </si>
  <si>
    <t>5011-3300-7030</t>
  </si>
  <si>
    <t>MERC - CPP - Huron County Peer Support</t>
  </si>
  <si>
    <t>5011-3310-4000</t>
  </si>
  <si>
    <t>MERC - CPP - Case Management (Exeter)</t>
  </si>
  <si>
    <t>5011-3320-4000</t>
  </si>
  <si>
    <t>MERC - CPP - Community Programs (Exeter)</t>
  </si>
  <si>
    <t>5011-3330-4000</t>
  </si>
  <si>
    <t>MERC - CPP - Vocational (Exeter)</t>
  </si>
  <si>
    <t>5011-4000-4000</t>
  </si>
  <si>
    <t>MERC - CPP - Supportive Housing</t>
  </si>
  <si>
    <t>5011-4100-4000</t>
  </si>
  <si>
    <t>MERC - CPP - Property Services</t>
  </si>
  <si>
    <t>5011-4210-4000</t>
  </si>
  <si>
    <t>MERC - CPP - Housing First</t>
  </si>
  <si>
    <t>5011-4210-7010</t>
  </si>
  <si>
    <t>MERC - CPP - Lawson NFA</t>
  </si>
  <si>
    <t>5011-4221-5500</t>
  </si>
  <si>
    <t>MERC - CPP - William</t>
  </si>
  <si>
    <t>5011-4222-4000</t>
  </si>
  <si>
    <t>MERC - CPP - Langarth</t>
  </si>
  <si>
    <t>5011-4223-4000</t>
  </si>
  <si>
    <t>MERC - CPP - Nicole's Choice</t>
  </si>
  <si>
    <t>5011-4310-4000</t>
  </si>
  <si>
    <t>MERC - CPP - Transitional RTF</t>
  </si>
  <si>
    <t>5011-4320-4000</t>
  </si>
  <si>
    <t>MERC - CPP - Transitional Shared Living</t>
  </si>
  <si>
    <t>5011-4410-4000</t>
  </si>
  <si>
    <t>MERC - CPP - Long-Stay RTF</t>
  </si>
  <si>
    <t>5011-4411-4000</t>
  </si>
  <si>
    <t>MERC - CPP - Long Stay MS</t>
  </si>
  <si>
    <t>5011-4420-4100</t>
  </si>
  <si>
    <t>MERC - CPP - Eating Disorders Residence</t>
  </si>
  <si>
    <t>5011-4500-5600</t>
  </si>
  <si>
    <t>MERC - CPP - MOH CHO</t>
  </si>
  <si>
    <t>5011-5000-2000</t>
  </si>
  <si>
    <t>MERC - CPP - Crisis Donations</t>
  </si>
  <si>
    <t>5011-5000-4000</t>
  </si>
  <si>
    <t>MERC - CPP - Crisis Services</t>
  </si>
  <si>
    <t>5011-5110-4000</t>
  </si>
  <si>
    <t>MERC - CPP - Crisis Mobile Team</t>
  </si>
  <si>
    <t>5011-5120-4000</t>
  </si>
  <si>
    <t>MERC - CPP - Crisis Centre First Contact</t>
  </si>
  <si>
    <t>5011-5130-4000</t>
  </si>
  <si>
    <t>MERC - CPP - Crisis Assessment Team</t>
  </si>
  <si>
    <t>5011-5130-7020</t>
  </si>
  <si>
    <t>MERC - CPP - LCF Vitality</t>
  </si>
  <si>
    <t>5011-5140-4000</t>
  </si>
  <si>
    <t>MERC - CPP - Crisis Stabilization Space</t>
  </si>
  <si>
    <t>5011-5150-4000</t>
  </si>
  <si>
    <t>MERC - CPP - Information &amp; Brief Support</t>
  </si>
  <si>
    <t>5011-5160-6100</t>
  </si>
  <si>
    <t>MERC - CPP - Support Line</t>
  </si>
  <si>
    <t>5011-5170-4000</t>
  </si>
  <si>
    <t>MERC - CPP - Reach Out</t>
  </si>
  <si>
    <t>5011-6400-5300</t>
  </si>
  <si>
    <t>MERC - CPP - Non-Profit Housing Program</t>
  </si>
  <si>
    <t>5012-1100-4000</t>
  </si>
  <si>
    <t>3 10 47</t>
  </si>
  <si>
    <t>MERC - EI - Administration</t>
  </si>
  <si>
    <t>5012-1200-4000</t>
  </si>
  <si>
    <t>MERC - EI - Finance</t>
  </si>
  <si>
    <t>5012-1300-4000</t>
  </si>
  <si>
    <t>MERC - EI - Human Resources</t>
  </si>
  <si>
    <t>5012-1400-4000</t>
  </si>
  <si>
    <t>MERC - EI - Information Systems &amp; Technology</t>
  </si>
  <si>
    <t>5012-1500-2000</t>
  </si>
  <si>
    <t>MERC - EI - Fund Development</t>
  </si>
  <si>
    <t>5012-1700-4000</t>
  </si>
  <si>
    <t>30 10 47</t>
  </si>
  <si>
    <t>MERC - EI - CMHA Elgin</t>
  </si>
  <si>
    <t>5012-2000-4000</t>
  </si>
  <si>
    <t>MERC - EI - Clinical &amp; Case Management</t>
  </si>
  <si>
    <t>5012-2100-4000</t>
  </si>
  <si>
    <t>3 50 47</t>
  </si>
  <si>
    <t>MERC - EI - Case Management</t>
  </si>
  <si>
    <t>5012-2200-2000</t>
  </si>
  <si>
    <t>MERC - EI - Clinical Donations</t>
  </si>
  <si>
    <t>5012-2200-4000</t>
  </si>
  <si>
    <t>MERC - EI - Clinical</t>
  </si>
  <si>
    <t>5012-2210-6100</t>
  </si>
  <si>
    <t>MERC - EI - Family Support</t>
  </si>
  <si>
    <t>5012-2300-4000</t>
  </si>
  <si>
    <t>MERC - EI - Peer Support</t>
  </si>
  <si>
    <t>5012-2400-4000</t>
  </si>
  <si>
    <t>MERC - EI - Strathroy</t>
  </si>
  <si>
    <t>5012-2410-4000</t>
  </si>
  <si>
    <t>MERC - EI - Counselling (Strathroy)</t>
  </si>
  <si>
    <t>5012-2420-4000</t>
  </si>
  <si>
    <t>MERC - EI - Case Management (Strathroy)</t>
  </si>
  <si>
    <t>5012-2430-4000</t>
  </si>
  <si>
    <t>MERC - EI - Community Programs (Strathroy)</t>
  </si>
  <si>
    <t>5012-2440-4000</t>
  </si>
  <si>
    <t>MERC - EI - Housing (Strathroy)</t>
  </si>
  <si>
    <t>5012-2450-4000</t>
  </si>
  <si>
    <t>MERC - EI - Crisis Services (Strathroy)</t>
  </si>
  <si>
    <t>5012-3000-4000</t>
  </si>
  <si>
    <t xml:space="preserve">3 10 47_x000D_
</t>
  </si>
  <si>
    <t>MERC - EI - Community Services</t>
  </si>
  <si>
    <t>5012-3110-2000</t>
  </si>
  <si>
    <t>MERC - EI - My Sister's Place</t>
  </si>
  <si>
    <t>5012-3120-6100</t>
  </si>
  <si>
    <t>MERC - EI - Coffee House</t>
  </si>
  <si>
    <t>5012-3210-4000</t>
  </si>
  <si>
    <t>MERC - EI - Community Wellness</t>
  </si>
  <si>
    <t>5012-3220-4000</t>
  </si>
  <si>
    <t>MERC - EI - Public Education</t>
  </si>
  <si>
    <t>5012-3230-4000</t>
  </si>
  <si>
    <t>MERC - EI - Justice &amp; Court</t>
  </si>
  <si>
    <t>5012-3240-4000</t>
  </si>
  <si>
    <t>MERC - EI - Vocational</t>
  </si>
  <si>
    <t>5012-3300-4000</t>
  </si>
  <si>
    <t>MERC - EI - Exeter &amp; Goderich</t>
  </si>
  <si>
    <t>5012-3300-7030</t>
  </si>
  <si>
    <t>MERC - EI - Huron County Peer Support</t>
  </si>
  <si>
    <t>5012-3310-4000</t>
  </si>
  <si>
    <t>MERC - EI - Case Management (Exeter)</t>
  </si>
  <si>
    <t>5012-3320-4000</t>
  </si>
  <si>
    <t>MERC - EI - Community Programs (Exeter)</t>
  </si>
  <si>
    <t>5012-3330-4000</t>
  </si>
  <si>
    <t>MERC - EI - Vocational (Exeter)</t>
  </si>
  <si>
    <t>5012-4000-4000</t>
  </si>
  <si>
    <t>MERC - EI - Supportive Housing</t>
  </si>
  <si>
    <t>5012-4100-4000</t>
  </si>
  <si>
    <t>MERC - EI - Property Services</t>
  </si>
  <si>
    <t>5012-4210-4000</t>
  </si>
  <si>
    <t>MERC - EI - Housing First</t>
  </si>
  <si>
    <t>5012-4210-7010</t>
  </si>
  <si>
    <t>MERC - EI - Lawson NFA</t>
  </si>
  <si>
    <t>5012-4221-5500</t>
  </si>
  <si>
    <t>MERC - EI - William</t>
  </si>
  <si>
    <t>5012-4222-4000</t>
  </si>
  <si>
    <t>MERC - EI - Langarth</t>
  </si>
  <si>
    <t>5012-4223-4000</t>
  </si>
  <si>
    <t>MERC - EI - Nicole's Choice</t>
  </si>
  <si>
    <t>5012-4310-4000</t>
  </si>
  <si>
    <t>MERC - EI - Transitional RTF</t>
  </si>
  <si>
    <t>5012-4320-4000</t>
  </si>
  <si>
    <t>MERC - EI - Transitional Shared Living</t>
  </si>
  <si>
    <t>5012-4410-4000</t>
  </si>
  <si>
    <t>MERC - EI - Long-Stay RTF</t>
  </si>
  <si>
    <t>5012-4411-4000</t>
  </si>
  <si>
    <t>MERC - EI - Long Stay MS</t>
  </si>
  <si>
    <t>5012-4420-4100</t>
  </si>
  <si>
    <t>MERC - EI - Eating Disorders Residence</t>
  </si>
  <si>
    <t>5012-4500-5600</t>
  </si>
  <si>
    <t>MERC - EI - MOH CHO</t>
  </si>
  <si>
    <t>5012-5000-2000</t>
  </si>
  <si>
    <t>MERC - EI - Crisis Donations</t>
  </si>
  <si>
    <t>5012-5000-4000</t>
  </si>
  <si>
    <t>MERC - EI - Crisis Services</t>
  </si>
  <si>
    <t>5012-5110-4000</t>
  </si>
  <si>
    <t>MERC - EI - Crisis Mobile Team</t>
  </si>
  <si>
    <t>5012-5120-4000</t>
  </si>
  <si>
    <t>MERC - EI - Crisis Centre First Contact</t>
  </si>
  <si>
    <t>5012-5130-4000</t>
  </si>
  <si>
    <t>MERC - EI - Crisis Assessment Team</t>
  </si>
  <si>
    <t>5012-5130-7020</t>
  </si>
  <si>
    <t>MERC - EI - LCF Vitality</t>
  </si>
  <si>
    <t>5012-5140-4000</t>
  </si>
  <si>
    <t>MERC - EI - Crisis Stabilization Space</t>
  </si>
  <si>
    <t>5012-5150-4000</t>
  </si>
  <si>
    <t>MERC - EI - Information &amp; Brief Support</t>
  </si>
  <si>
    <t>5012-5160-6100</t>
  </si>
  <si>
    <t>MERC - EI - Support Line</t>
  </si>
  <si>
    <t>5012-5170-4000</t>
  </si>
  <si>
    <t>MERC - EI - Reach Out</t>
  </si>
  <si>
    <t>5012-6400-5300</t>
  </si>
  <si>
    <t>MERC - EI - Non-Profit Housing Program</t>
  </si>
  <si>
    <t>5013-1100-4000</t>
  </si>
  <si>
    <t>3 10 60</t>
  </si>
  <si>
    <t>MERC - EHT - Administration</t>
  </si>
  <si>
    <t>5013-1200-4000</t>
  </si>
  <si>
    <t>MERC - EHT - Finance</t>
  </si>
  <si>
    <t>5013-1300-4000</t>
  </si>
  <si>
    <t>MERC - EHT - Human Resources</t>
  </si>
  <si>
    <t>5013-1400-4000</t>
  </si>
  <si>
    <t>MERC - EHT - Information Systems &amp; Technology</t>
  </si>
  <si>
    <t>5013-1500-2000</t>
  </si>
  <si>
    <t>MERC - EHT - Fund Development</t>
  </si>
  <si>
    <t>5013-1700-4000</t>
  </si>
  <si>
    <t>MERC - EHT - CMHA Elgin</t>
  </si>
  <si>
    <t>5013-2000-4000</t>
  </si>
  <si>
    <t>MERC - EHT - Clinical &amp; Case Management</t>
  </si>
  <si>
    <t>5013-2100-4000</t>
  </si>
  <si>
    <t>3 50 60</t>
  </si>
  <si>
    <t>MERC - EHT - Case Management</t>
  </si>
  <si>
    <t>5013-2200-2000</t>
  </si>
  <si>
    <t>MERC - EHT - Clinical Donations</t>
  </si>
  <si>
    <t>5013-2200-4000</t>
  </si>
  <si>
    <t>MERC - EHT - Clinical</t>
  </si>
  <si>
    <t>5013-2210-6100</t>
  </si>
  <si>
    <t>MERC - EHT - Family Support</t>
  </si>
  <si>
    <t>5013-2300-4000</t>
  </si>
  <si>
    <t>MERC - EHT - Peer Support</t>
  </si>
  <si>
    <t>5013-2400-4000</t>
  </si>
  <si>
    <t>MERC - EHT - Strathroy</t>
  </si>
  <si>
    <t>5013-2410-4000</t>
  </si>
  <si>
    <t>MERC - EHT - Counselling (Strathroy)</t>
  </si>
  <si>
    <t>5013-2420-4000</t>
  </si>
  <si>
    <t>MERC - EHT - Case Management (Strathroy)</t>
  </si>
  <si>
    <t>5013-2430-4000</t>
  </si>
  <si>
    <t>MERC - EHT - Community Programs (Strathroy)</t>
  </si>
  <si>
    <t>5013-2440-4000</t>
  </si>
  <si>
    <t>MERC - EHT - Housing (Strathroy)</t>
  </si>
  <si>
    <t>5013-2450-4000</t>
  </si>
  <si>
    <t>MERC - EHT - Crisis Services (Strathroy)</t>
  </si>
  <si>
    <t>5013-3000-4000</t>
  </si>
  <si>
    <t xml:space="preserve">3 10 60_x000D_
</t>
  </si>
  <si>
    <t>MERC - EHT - Community Services</t>
  </si>
  <si>
    <t>5013-3110-2000</t>
  </si>
  <si>
    <t>MERC - EHT - My Sister's Place</t>
  </si>
  <si>
    <t>5013-3120-6100</t>
  </si>
  <si>
    <t>MERC - EHT - Coffee House</t>
  </si>
  <si>
    <t>5013-3210-4000</t>
  </si>
  <si>
    <t>MERC - EHT - Community Wellness</t>
  </si>
  <si>
    <t>5013-3220-4000</t>
  </si>
  <si>
    <t>MERC - EHT - Public Education</t>
  </si>
  <si>
    <t>5013-3230-4000</t>
  </si>
  <si>
    <t>MERC - EHT - Justice &amp; Court</t>
  </si>
  <si>
    <t>5013-3240-4000</t>
  </si>
  <si>
    <t>MERC - EHT - Vocational</t>
  </si>
  <si>
    <t>5013-3300-4000</t>
  </si>
  <si>
    <t>MERC - EHT - Exeter &amp; Goderich</t>
  </si>
  <si>
    <t>5013-3300-7030</t>
  </si>
  <si>
    <t>MERC - EHT - Huron County Peer Support</t>
  </si>
  <si>
    <t>5013-3310-4000</t>
  </si>
  <si>
    <t>MERC - EHT - Case Management (Exeter)</t>
  </si>
  <si>
    <t>5013-3320-4000</t>
  </si>
  <si>
    <t>MERC - EHT - Community Programs (Exeter)</t>
  </si>
  <si>
    <t>5013-3330-4000</t>
  </si>
  <si>
    <t>MERC - EHT - Vocational (Exeter)</t>
  </si>
  <si>
    <t>5013-4000-4000</t>
  </si>
  <si>
    <t>MERC - EHT - Supportive Housing</t>
  </si>
  <si>
    <t>5013-4100-4000</t>
  </si>
  <si>
    <t>MERC - EHT - Property Services</t>
  </si>
  <si>
    <t>5013-4210-4000</t>
  </si>
  <si>
    <t>MERC - EHT - Housing First</t>
  </si>
  <si>
    <t>5013-4210-7010</t>
  </si>
  <si>
    <t>MERC - EHT - Lawson NFA</t>
  </si>
  <si>
    <t>5013-4221-5500</t>
  </si>
  <si>
    <t>MERC - EHT - William</t>
  </si>
  <si>
    <t>5013-4222-4000</t>
  </si>
  <si>
    <t>MERC - EHT - Langarth</t>
  </si>
  <si>
    <t>5013-4223-4000</t>
  </si>
  <si>
    <t>MERC - EHT - Nicole's Choice</t>
  </si>
  <si>
    <t>5013-4310-4000</t>
  </si>
  <si>
    <t>MERC - EHT - Transitional RTF</t>
  </si>
  <si>
    <t>5013-4320-4000</t>
  </si>
  <si>
    <t>MERC - EHT - Transitional Shared Living</t>
  </si>
  <si>
    <t>5013-4410-4000</t>
  </si>
  <si>
    <t>MERC - EHT - Long-Stay RTF</t>
  </si>
  <si>
    <t>5013-4411-4000</t>
  </si>
  <si>
    <t>MERC - EHT - Long Stay MS</t>
  </si>
  <si>
    <t>5013-4420-4100</t>
  </si>
  <si>
    <t>MERC - EHT - Eating Disorders Residence</t>
  </si>
  <si>
    <t>5013-4500-5600</t>
  </si>
  <si>
    <t>MERC - EHT - MOH CHO</t>
  </si>
  <si>
    <t>5013-5000-2000</t>
  </si>
  <si>
    <t>MERC - EHT - Crisis Donations</t>
  </si>
  <si>
    <t>5013-5000-4000</t>
  </si>
  <si>
    <t>MERC - EHT - Crisis Services</t>
  </si>
  <si>
    <t>5013-5110-4000</t>
  </si>
  <si>
    <t>MERC - EHT - Crisis Mobile Team</t>
  </si>
  <si>
    <t>5013-5120-4000</t>
  </si>
  <si>
    <t>MERC - EHT - Crisis Centre First Contact</t>
  </si>
  <si>
    <t>5013-5130-4000</t>
  </si>
  <si>
    <t>MERC - EHT - Crisis Assessment Team</t>
  </si>
  <si>
    <t>5013-5130-7020</t>
  </si>
  <si>
    <t>MERC - EHT - LCF Vitality</t>
  </si>
  <si>
    <t>5013-5140-4000</t>
  </si>
  <si>
    <t>MERC - EHT - Crisis Stabilization Space</t>
  </si>
  <si>
    <t>5013-5150-4000</t>
  </si>
  <si>
    <t>MERC - EHT - Information &amp; Brief Support</t>
  </si>
  <si>
    <t>5013-5160-6100</t>
  </si>
  <si>
    <t>MERC - EHT - Support Line</t>
  </si>
  <si>
    <t>5013-5170-4000</t>
  </si>
  <si>
    <t>MERC - EHT - Reach Out</t>
  </si>
  <si>
    <t>5013-6400-5300</t>
  </si>
  <si>
    <t>MERC - EHT - Non-Profit Housing Program</t>
  </si>
  <si>
    <t>5014-4221-5500</t>
  </si>
  <si>
    <t>EHT Exemption - William</t>
  </si>
  <si>
    <t>5014-6101-4000</t>
  </si>
  <si>
    <t>EHT Exemption - 534 Queens Ave</t>
  </si>
  <si>
    <t>5014-6102-4000</t>
  </si>
  <si>
    <t>EHT Exemption - 149B Thames Road (Exeter)</t>
  </si>
  <si>
    <t>5014-6103-4000</t>
  </si>
  <si>
    <t>EHT Exemption - 648 Huron St. (Crisis Centre)</t>
  </si>
  <si>
    <t>5014-6104-4000</t>
  </si>
  <si>
    <t>EHT Exemption - 21 Richmond St. (Strathroy)</t>
  </si>
  <si>
    <t>5014-6105-2000</t>
  </si>
  <si>
    <t>73 5 50 76  30</t>
  </si>
  <si>
    <t>EHT Exemption - 566 Dundas St. (MSP)</t>
  </si>
  <si>
    <t>5014-6200-4000</t>
  </si>
  <si>
    <t>EHT Exemption - 281 Piccadilly (TRTF)</t>
  </si>
  <si>
    <t>5014-6301-4000</t>
  </si>
  <si>
    <t>EHT Exemption - 14 Craig St. (TSL)</t>
  </si>
  <si>
    <t>5014-6302-4000</t>
  </si>
  <si>
    <t>EHT Exemption - 36 Frank Place (CSS)</t>
  </si>
  <si>
    <t>5014-6407-4000</t>
  </si>
  <si>
    <t>EHT Exemption - 108 Four Oakes (TSL)</t>
  </si>
  <si>
    <t>5014-6502-4000</t>
  </si>
  <si>
    <t>EHT Exemption - 837 Talbot St. (LSRTF)</t>
  </si>
  <si>
    <t>5021-1100-4000</t>
  </si>
  <si>
    <t>3 10 44</t>
  </si>
  <si>
    <t>Employer HOOPP Contributions - Administration</t>
  </si>
  <si>
    <t>5021-1200-4000</t>
  </si>
  <si>
    <t>Employer HOOPP Contributions - Finance</t>
  </si>
  <si>
    <t>5021-1300-4000</t>
  </si>
  <si>
    <t>Employer HOOPP Contributions - Human Resources</t>
  </si>
  <si>
    <t>5021-1400-4000</t>
  </si>
  <si>
    <t>Employer HOOPP Contributions - Information Systems &amp; Technol</t>
  </si>
  <si>
    <t>5021-1500-2000</t>
  </si>
  <si>
    <t>Employer HOOPP Contributions - Fund Development</t>
  </si>
  <si>
    <t>5021-1700-4000</t>
  </si>
  <si>
    <t>MERC - HOOPP Expense - CMHA Elgin</t>
  </si>
  <si>
    <t>5021-2000-4000</t>
  </si>
  <si>
    <t>Employer HOOPP Contributions - Clinical &amp; Case Management</t>
  </si>
  <si>
    <t>5021-2100-4000</t>
  </si>
  <si>
    <t>3 50 44</t>
  </si>
  <si>
    <t>Employer HOOPP Contributions - Case Management</t>
  </si>
  <si>
    <t>5021-2200-4000</t>
  </si>
  <si>
    <t>Employer HOOPP Contributions - Clinical</t>
  </si>
  <si>
    <t>5021-2210-6100</t>
  </si>
  <si>
    <t>Employer HOOPP Contributions - Family Support</t>
  </si>
  <si>
    <t>5021-2300-4000</t>
  </si>
  <si>
    <t>Employer HOOPP Contributions - Peer Support</t>
  </si>
  <si>
    <t>5021-2400-4000</t>
  </si>
  <si>
    <t>Employer HOOPP Contributions - Strathroy</t>
  </si>
  <si>
    <t>5021-2410-4000</t>
  </si>
  <si>
    <t>Employer HOOPP Contributions - Counselling (Strathroy)</t>
  </si>
  <si>
    <t>5021-2420-4000</t>
  </si>
  <si>
    <t>Employer HOOPP Contributions - Case Management (Strathroy)</t>
  </si>
  <si>
    <t>5021-2430-4000</t>
  </si>
  <si>
    <t>Employer HOOPP Contributions - Community Programs (Strathroy</t>
  </si>
  <si>
    <t>5021-2440-4000</t>
  </si>
  <si>
    <t>Employer HOOPP Contributions - Housing (Strathroy)</t>
  </si>
  <si>
    <t>5021-2450-4000</t>
  </si>
  <si>
    <t>Employer HOOPP Contributions - Crisis Services (Strathroy)</t>
  </si>
  <si>
    <t>5021-3000-4000</t>
  </si>
  <si>
    <t xml:space="preserve">3 10 44_x000D_
</t>
  </si>
  <si>
    <t>Employer HOOPP Contributions - Community Services</t>
  </si>
  <si>
    <t>5021-3110-2000</t>
  </si>
  <si>
    <t>Employer HOOPP Contributions - My Sister's Place</t>
  </si>
  <si>
    <t>5021-3120-6100</t>
  </si>
  <si>
    <t>Employer HOOPP Contributions - Coffee House</t>
  </si>
  <si>
    <t>5021-3210-4000</t>
  </si>
  <si>
    <t>Employer HOOPP Contributions - Community Wellness</t>
  </si>
  <si>
    <t>5021-3220-4000</t>
  </si>
  <si>
    <t>Employer HOOPP Contributions - Public Education</t>
  </si>
  <si>
    <t>5021-3230-4000</t>
  </si>
  <si>
    <t>Employer HOOPP Contributions - Justice &amp; Court</t>
  </si>
  <si>
    <t>5021-3240-4000</t>
  </si>
  <si>
    <t>Employer HOOPP Contributions - Vocational</t>
  </si>
  <si>
    <t>5021-3300-4000</t>
  </si>
  <si>
    <t>Employer HOOPP Contributions - Exeter &amp; Goderich</t>
  </si>
  <si>
    <t>5021-3310-4000</t>
  </si>
  <si>
    <t>Employer HOOPP Contributions - Case Management (Exeter)</t>
  </si>
  <si>
    <t>5021-3320-4000</t>
  </si>
  <si>
    <t>Employer HOOPP Contributions - Community Programs (Exeter)</t>
  </si>
  <si>
    <t>5021-3330-4000</t>
  </si>
  <si>
    <t>Employer HOOPP Contributions - Vocational (Exeter)</t>
  </si>
  <si>
    <t>5021-4000-4000</t>
  </si>
  <si>
    <t>Employer HOOPP Contributions - Supportive Housing</t>
  </si>
  <si>
    <t>5021-4100-4000</t>
  </si>
  <si>
    <t>Employer HOOPP Contributions - Property Services</t>
  </si>
  <si>
    <t>5021-4210-4000</t>
  </si>
  <si>
    <t>Employer HOOPP Contributions - Housing First</t>
  </si>
  <si>
    <t>5021-4210-7010</t>
  </si>
  <si>
    <t>Employer HOOPP Contributions - Lawson NFA</t>
  </si>
  <si>
    <t>5021-4221-5500</t>
  </si>
  <si>
    <t>Employer HOOPP Contributions - William</t>
  </si>
  <si>
    <t>5021-4222-4000</t>
  </si>
  <si>
    <t>Employer HOOPP Contributions - Langarth</t>
  </si>
  <si>
    <t>5021-4223-4000</t>
  </si>
  <si>
    <t>Employer HOOPP Contributions - Nicole's Choice</t>
  </si>
  <si>
    <t>5021-4310-4000</t>
  </si>
  <si>
    <t>Employer HOOPP Contributions - Transitional RTF</t>
  </si>
  <si>
    <t>5021-4320-4000</t>
  </si>
  <si>
    <t>Employer HOOPP Contributions - Transitional Shared Living</t>
  </si>
  <si>
    <t>5021-4340-4000</t>
  </si>
  <si>
    <t>Employer HOOPP Contributions - TCP/STTCM</t>
  </si>
  <si>
    <t>5021-4410-4000</t>
  </si>
  <si>
    <t>Employer HOOPP Contributions - Long-Stay RTF</t>
  </si>
  <si>
    <t>5021-4411-4000</t>
  </si>
  <si>
    <t>Employer HOOPP Contributions - Long Stay MS</t>
  </si>
  <si>
    <t>5021-4420-4100</t>
  </si>
  <si>
    <t>Employer HOOPP Contributions - Eating Disorders Residence</t>
  </si>
  <si>
    <t>5021-4500-5600</t>
  </si>
  <si>
    <t xml:space="preserve">3 50 44_x000D_
</t>
  </si>
  <si>
    <t>Employer HOOPP Contributions - MOH CHO</t>
  </si>
  <si>
    <t>5021-5000-2000</t>
  </si>
  <si>
    <t>Employer HOOPP Contributions - Crisis Donations</t>
  </si>
  <si>
    <t>5021-5000-4000</t>
  </si>
  <si>
    <t>Employer HOOPP Contributions - Crisis Services</t>
  </si>
  <si>
    <t>5021-5110-4000</t>
  </si>
  <si>
    <t>Employer HOOPP Contributions - Crisis Mobile Team</t>
  </si>
  <si>
    <t>5021-5120-4000</t>
  </si>
  <si>
    <t>Employer HOOPP Contributions - Crisis Centre First Contact</t>
  </si>
  <si>
    <t>5021-5130-4000</t>
  </si>
  <si>
    <t>Employer HOOPP Contributions - Crisis Assessment Team</t>
  </si>
  <si>
    <t>5021-5130-7020</t>
  </si>
  <si>
    <t>Employer HOOPP Contributions - LCF Vitality</t>
  </si>
  <si>
    <t>5021-5140-4000</t>
  </si>
  <si>
    <t>Employer HOOPP Contributions - Crisis Stabilization Space</t>
  </si>
  <si>
    <t>5021-5150-4000</t>
  </si>
  <si>
    <t>Employer HOOPP Contributions - Information &amp; Brief Support</t>
  </si>
  <si>
    <t>5021-5160-6100</t>
  </si>
  <si>
    <t>Employer HOOPP Contributions - Support Line</t>
  </si>
  <si>
    <t>5021-5170-4000</t>
  </si>
  <si>
    <t>Employer HOOPP Contributions - Reach Out</t>
  </si>
  <si>
    <t>5021-6400-5300</t>
  </si>
  <si>
    <t>Employer HOOPP Contributions - Non-Profit Housing Program</t>
  </si>
  <si>
    <t>5022-1100-4000</t>
  </si>
  <si>
    <t>3 10 64</t>
  </si>
  <si>
    <t>Health &amp; Dental Benefits - Administration</t>
  </si>
  <si>
    <t>5022-1300-4000</t>
  </si>
  <si>
    <t>Health &amp; Dental Benefits - Human Resources</t>
  </si>
  <si>
    <t>5022-1500-2000</t>
  </si>
  <si>
    <t>Health &amp; Dental Benefits - Fund Development</t>
  </si>
  <si>
    <t>5022-1700-4000</t>
  </si>
  <si>
    <t>Health &amp; Dental Benefits - CMHA Elgin</t>
  </si>
  <si>
    <t>5022-2200-4000</t>
  </si>
  <si>
    <t>3 50 64</t>
  </si>
  <si>
    <t>Health &amp; Dental Benefits - Clinical</t>
  </si>
  <si>
    <t>5022-2210-6100</t>
  </si>
  <si>
    <t>Health &amp; Dental Benefits - Family Support</t>
  </si>
  <si>
    <t>5022-3110-2000</t>
  </si>
  <si>
    <t>Health &amp; Dental Benefits - My Sister's Place</t>
  </si>
  <si>
    <t>5022-4210-7010</t>
  </si>
  <si>
    <t>Health &amp; Dental Benefits - Lawson NFA</t>
  </si>
  <si>
    <t>5022-4221-5500</t>
  </si>
  <si>
    <t>Health &amp; Dental Benefits - William</t>
  </si>
  <si>
    <t>5022-4420-4100</t>
  </si>
  <si>
    <t>Health &amp; Dental Benefits - Eating Disorders Residence</t>
  </si>
  <si>
    <t>5022-4500-5600</t>
  </si>
  <si>
    <t>Health &amp; Dental Benefits - MOH CHO</t>
  </si>
  <si>
    <t>5022-5160-6100</t>
  </si>
  <si>
    <t xml:space="preserve">3 10 64_x000D_
</t>
  </si>
  <si>
    <t>Health &amp; Dental Benefits - Support Line</t>
  </si>
  <si>
    <t>5022-6400-5300</t>
  </si>
  <si>
    <t>Health &amp; Dental Benefits - Non-Profit Housing Program</t>
  </si>
  <si>
    <t>5023-1300-4000</t>
  </si>
  <si>
    <t>3 10 56</t>
  </si>
  <si>
    <t>Life &amp; Disability Insurance - Human Resources</t>
  </si>
  <si>
    <t>5023-1500-2000</t>
  </si>
  <si>
    <t>Life &amp; Disability Insurance - Fund Development</t>
  </si>
  <si>
    <t>5023-1700-4000</t>
  </si>
  <si>
    <t>Life &amp; Disability Insurance - CMHA Elgin</t>
  </si>
  <si>
    <t>5023-2210-6100</t>
  </si>
  <si>
    <t>3 50 56</t>
  </si>
  <si>
    <t>Life &amp; Disability Insurance - Family Support</t>
  </si>
  <si>
    <t>5023-3110-2000</t>
  </si>
  <si>
    <t>Life &amp; Disability Insurance - My Sister's Place</t>
  </si>
  <si>
    <t>5023-4210-7010</t>
  </si>
  <si>
    <t>Life &amp; Disability Insurance - Lawson NFA</t>
  </si>
  <si>
    <t>5023-4221-5500</t>
  </si>
  <si>
    <t>Life &amp; Disability Insurance - William</t>
  </si>
  <si>
    <t>5023-4420-4100</t>
  </si>
  <si>
    <t>Life &amp; Disability Insurance - Eating Disorders Residence</t>
  </si>
  <si>
    <t>5023-4500-5600</t>
  </si>
  <si>
    <t>Life &amp; Disability Insurance - MOH CHO</t>
  </si>
  <si>
    <t>5023-5160-6100</t>
  </si>
  <si>
    <t xml:space="preserve">3 10 56_x000D_
</t>
  </si>
  <si>
    <t>Life &amp; Disability Insurance - Support Line</t>
  </si>
  <si>
    <t>5023-6400-5300</t>
  </si>
  <si>
    <t>Life &amp; Disability Insurance - Non-Profit Housing Program</t>
  </si>
  <si>
    <t>5024-1300-4000</t>
  </si>
  <si>
    <t xml:space="preserve">72 1 10_x000D_
</t>
  </si>
  <si>
    <t xml:space="preserve">3 50 30_x000D_
</t>
  </si>
  <si>
    <t>Other Employee Benefits</t>
  </si>
  <si>
    <t>5031-1100-4000</t>
  </si>
  <si>
    <t>6 60 20</t>
  </si>
  <si>
    <t>Staff Memberships - Administration</t>
  </si>
  <si>
    <t>5031-1200-4000</t>
  </si>
  <si>
    <t>Staff Memberships - Finance</t>
  </si>
  <si>
    <t>5031-1300-4000</t>
  </si>
  <si>
    <t>Staff Memberships</t>
  </si>
  <si>
    <t>5031-2000-4000</t>
  </si>
  <si>
    <t>Staff Memberships - Clinical &amp; Case Management</t>
  </si>
  <si>
    <t>5031-2100-4000</t>
  </si>
  <si>
    <t>Staff Memberships - Case Management</t>
  </si>
  <si>
    <t>5031-2200-4000</t>
  </si>
  <si>
    <t>Staff Memberships - Clinical</t>
  </si>
  <si>
    <t>5031-2210-6100</t>
  </si>
  <si>
    <t>Staff Memberships - Family Support</t>
  </si>
  <si>
    <t>5031-2410-4000</t>
  </si>
  <si>
    <t>Staff Memberships - Counselling (Strathroy)</t>
  </si>
  <si>
    <t>5031-2420-4000</t>
  </si>
  <si>
    <t>Staff Memberships - Case Management (Strathroy)</t>
  </si>
  <si>
    <t>5031-2450-4000</t>
  </si>
  <si>
    <t>Staff Memberships - Crisis Services (Strathroy)</t>
  </si>
  <si>
    <t>5031-3210-4000</t>
  </si>
  <si>
    <t>Staff Memberships - Community Wellness</t>
  </si>
  <si>
    <t>5031-3230-4000</t>
  </si>
  <si>
    <t>Staff Memberships - Justice &amp; Court</t>
  </si>
  <si>
    <t>5031-4100-4000</t>
  </si>
  <si>
    <t>Staff Memberships - Property Services</t>
  </si>
  <si>
    <t>5031-4210-4000</t>
  </si>
  <si>
    <t>Staff Memberships - Housing First</t>
  </si>
  <si>
    <t>5031-4223-4000</t>
  </si>
  <si>
    <t>Staff Memberships - Nicole's Choice</t>
  </si>
  <si>
    <t>5031-4310-4000</t>
  </si>
  <si>
    <t>Staff Memberships - Transitional RTF</t>
  </si>
  <si>
    <t>5031-4320-4000</t>
  </si>
  <si>
    <t>Staff Memberships - Transitional Shared Living</t>
  </si>
  <si>
    <t>5031-4410-4000</t>
  </si>
  <si>
    <t>Staff Memberships - Long-Stay RTF</t>
  </si>
  <si>
    <t>5031-4500-5600</t>
  </si>
  <si>
    <t>Staff Memberships - MOH CHO</t>
  </si>
  <si>
    <t>5031-5000-4000</t>
  </si>
  <si>
    <t>Staff Memberships - Crisis Services</t>
  </si>
  <si>
    <t>5031-5110-4000</t>
  </si>
  <si>
    <t>Staff Memberships - Crisis Mobile Team</t>
  </si>
  <si>
    <t>5031-5130-4000</t>
  </si>
  <si>
    <t>Staff Memberships - Crisis Assessment Team</t>
  </si>
  <si>
    <t>5031-5140-4000</t>
  </si>
  <si>
    <t>Staff Memberships - Crisis Stabilization Space</t>
  </si>
  <si>
    <t>5031-5150-4000</t>
  </si>
  <si>
    <t>Staff Memberships - Information &amp; Brief Support</t>
  </si>
  <si>
    <t>5031-5160-6100</t>
  </si>
  <si>
    <t>Staff Memberships - Support Line</t>
  </si>
  <si>
    <t>5040-1100-4000</t>
  </si>
  <si>
    <t>3 50 30</t>
  </si>
  <si>
    <t>Vacation Adjustment</t>
  </si>
  <si>
    <t>5050-2100-4000</t>
  </si>
  <si>
    <t>Wages - Termination - Case Management</t>
  </si>
  <si>
    <t>5050-2420-4000</t>
  </si>
  <si>
    <t>Wages - Termination - Case Management Strathroy</t>
  </si>
  <si>
    <t>5050-3220-4000</t>
  </si>
  <si>
    <t>Terminations - Public Education</t>
  </si>
  <si>
    <t>5050-4410-4000</t>
  </si>
  <si>
    <t>Terminations - Long-Stay RTF</t>
  </si>
  <si>
    <t>5050-4420-4100</t>
  </si>
  <si>
    <t>Wages - Termination Eating Disorders</t>
  </si>
  <si>
    <t>5050-4500-5600</t>
  </si>
  <si>
    <t>72 5 4 76 10</t>
  </si>
  <si>
    <t>Termination Wages - CHO</t>
  </si>
  <si>
    <t>5050-5130-4000</t>
  </si>
  <si>
    <t>Wages - Termination - Crisis Assessment Team</t>
  </si>
  <si>
    <t>5050-5140-4000</t>
  </si>
  <si>
    <t>Terminations - Crisis Stabilization Space</t>
  </si>
  <si>
    <t>5060-4210-6300</t>
  </si>
  <si>
    <t>6 95 91</t>
  </si>
  <si>
    <t>Admin &amp; Management Fees - CHPI Housing First</t>
  </si>
  <si>
    <t>5060-4210-7010</t>
  </si>
  <si>
    <t>Admin &amp; Management Fees - Lawson NFA</t>
  </si>
  <si>
    <t>5060-4420-4100</t>
  </si>
  <si>
    <t>Admin &amp; Management Fees - Eating Disorder Residence</t>
  </si>
  <si>
    <t>5060-4500-5600</t>
  </si>
  <si>
    <t>Admin &amp; Management Fees - MOH CHO</t>
  </si>
  <si>
    <t>5060-5130-7020</t>
  </si>
  <si>
    <t>Admin &amp; Management Fees - LCF Vitality</t>
  </si>
  <si>
    <t>5101-1200-4000</t>
  </si>
  <si>
    <t xml:space="preserve">4 95 00_x000D_
</t>
  </si>
  <si>
    <t>Program Supplies &amp; Sundry - Finance</t>
  </si>
  <si>
    <t>5101-1300-4000</t>
  </si>
  <si>
    <t>4 95 00</t>
  </si>
  <si>
    <t>Program Supplies &amp; Sundry - Human Resources</t>
  </si>
  <si>
    <t>5101-1500-2000</t>
  </si>
  <si>
    <t>Program Supplies &amp; Sundry - Fund Development</t>
  </si>
  <si>
    <t>5101-1600-1000</t>
  </si>
  <si>
    <t>Program Supplies &amp; Sundry - Corporate Training</t>
  </si>
  <si>
    <t>5101-2100-4000</t>
  </si>
  <si>
    <t>Program Supplies &amp; Sundry - Case Management</t>
  </si>
  <si>
    <t>5101-2200-4000</t>
  </si>
  <si>
    <t>Program Supplies &amp; Sundry - Clinical</t>
  </si>
  <si>
    <t>5101-2210-6100</t>
  </si>
  <si>
    <t>Program Supplies &amp; Sundry - Family Support</t>
  </si>
  <si>
    <t>5101-2300-4000</t>
  </si>
  <si>
    <t>Program Supplies &amp; Sundry - Peer Support</t>
  </si>
  <si>
    <t>5101-2400-4000</t>
  </si>
  <si>
    <t>Program Supplies &amp; Sundry - Strathroy</t>
  </si>
  <si>
    <t>5101-2430-4000</t>
  </si>
  <si>
    <t>Program Supplies &amp; Sundry - Community Programs (Strathroy)</t>
  </si>
  <si>
    <t>5101-3110-2000</t>
  </si>
  <si>
    <t>Program Supplies &amp; Sundry - My Sister's Place</t>
  </si>
  <si>
    <t>5101-3120-2000</t>
  </si>
  <si>
    <t>Program Supplies &amp; Sundry - Coffee House - Donation</t>
  </si>
  <si>
    <t>5101-3120-6100</t>
  </si>
  <si>
    <t>Program Supplies &amp; Sundry - Coffee House</t>
  </si>
  <si>
    <t>5101-3210-4000</t>
  </si>
  <si>
    <t>Program Supplies &amp; Sundry - Community Wellness</t>
  </si>
  <si>
    <t>5101-3220-4000</t>
  </si>
  <si>
    <t>Program Supplies &amp; Sundry - Public Education</t>
  </si>
  <si>
    <t>5101-3230-4000</t>
  </si>
  <si>
    <t>Program Supplies &amp; Sundry - Justice &amp; Court</t>
  </si>
  <si>
    <t>5101-3300-4000</t>
  </si>
  <si>
    <t>Program Supplies &amp; Sundry - Exeter &amp; Goderich</t>
  </si>
  <si>
    <t>5101-3300-7030</t>
  </si>
  <si>
    <t>Program Supplies &amp; Sundry - Huron County Peer Support</t>
  </si>
  <si>
    <t>5101-3320-4000</t>
  </si>
  <si>
    <t>Program Supplies &amp; Sundry - Community Programs (Exeter)</t>
  </si>
  <si>
    <t>5101-4000-4000</t>
  </si>
  <si>
    <t>72 5 40 76 30_x000D_</t>
  </si>
  <si>
    <t>Program Supplies &amp; Sundry - Supportive Housing</t>
  </si>
  <si>
    <t>5101-4100-4000</t>
  </si>
  <si>
    <t>Program Supplies &amp; Sundry - Property Services</t>
  </si>
  <si>
    <t>5101-4210-4000</t>
  </si>
  <si>
    <t>Program Supplies &amp; Sundry - Housing First</t>
  </si>
  <si>
    <t>5101-4210-7010</t>
  </si>
  <si>
    <t>Program Supplies &amp; Sundry - Lawson NFA</t>
  </si>
  <si>
    <t>5101-4221-5500</t>
  </si>
  <si>
    <t>Program Supplies &amp; Sundry - William</t>
  </si>
  <si>
    <t>5101-4222-4000</t>
  </si>
  <si>
    <t>Program Supplies &amp; Sundry - Langarth</t>
  </si>
  <si>
    <t>5101-4223-4000</t>
  </si>
  <si>
    <t>Program Supplies &amp; Sundry - Nicole's Choice</t>
  </si>
  <si>
    <t>5101-4310-4000</t>
  </si>
  <si>
    <t>Program Supplies &amp; Sundry - Transitional RTF</t>
  </si>
  <si>
    <t>5101-4320-4000</t>
  </si>
  <si>
    <t>Program Supplies &amp; Sundry - Transitional Shared Living</t>
  </si>
  <si>
    <t>5101-4330-2000</t>
  </si>
  <si>
    <t>Program Supplies &amp; Sundry - Youth Apartments</t>
  </si>
  <si>
    <t>5101-4410-4000</t>
  </si>
  <si>
    <t>Program Supplies &amp; Sundry - Long-Stay RTF</t>
  </si>
  <si>
    <t>5101-4420-4100</t>
  </si>
  <si>
    <t>Program Supplies &amp; Sundry - Eating Disorders Residence</t>
  </si>
  <si>
    <t>5101-4500-5600</t>
  </si>
  <si>
    <t>Program Supplies &amp; Sundry - MOH CHO</t>
  </si>
  <si>
    <t>5101-4501-5600</t>
  </si>
  <si>
    <t>Program Supplies &amp; Sundry - MOH CHO - 1084 Viscount</t>
  </si>
  <si>
    <t>5101-4502-5600</t>
  </si>
  <si>
    <t>Program Supplies &amp; Sundry - MOH CHO - Dutsch Residence</t>
  </si>
  <si>
    <t>5101-4503-5600</t>
  </si>
  <si>
    <t>Program Supplies &amp; Sundry - MOH CHO - Kotlyar Residence</t>
  </si>
  <si>
    <t>5101-4507-5600</t>
  </si>
  <si>
    <t>Program Supplies &amp; Sundry - MOH CHO - Walker Residence</t>
  </si>
  <si>
    <t>5101-4508-5600</t>
  </si>
  <si>
    <t>Program Supplies &amp; Sundry - MOH CHO - Wallis Residential Hom</t>
  </si>
  <si>
    <t>5101-4509-5600</t>
  </si>
  <si>
    <t>Program Supplies &amp; Sundry - MOH CHO - Xavier Place</t>
  </si>
  <si>
    <t>5101-5000-4000</t>
  </si>
  <si>
    <t>Program Supplies &amp; Sundry - Crisis Services</t>
  </si>
  <si>
    <t>5101-5130-7020</t>
  </si>
  <si>
    <t>Program Supplies &amp; Sundry - LCF Vitality</t>
  </si>
  <si>
    <t>5101-5140-4000</t>
  </si>
  <si>
    <t>Program Supplies &amp; Sundry - Crisis Stabilization Space</t>
  </si>
  <si>
    <t>5101-5160-6100</t>
  </si>
  <si>
    <t>Program Supplies &amp; Sundry - Support Line</t>
  </si>
  <si>
    <t>5101-5170-4000</t>
  </si>
  <si>
    <t>Program Supplies &amp; Sundry - Reach Out</t>
  </si>
  <si>
    <t>5102-2430-4000</t>
  </si>
  <si>
    <t xml:space="preserve">4 50 05_x000D_
</t>
  </si>
  <si>
    <t>Food Programs - Community Programs (Strathroy)</t>
  </si>
  <si>
    <t>5102-3110-2000</t>
  </si>
  <si>
    <t>4 50 05</t>
  </si>
  <si>
    <t>Food Programs - My Sister's Place</t>
  </si>
  <si>
    <t>5102-3120-6100</t>
  </si>
  <si>
    <t>Food Programs - Coffee House</t>
  </si>
  <si>
    <t>5102-3320-4000</t>
  </si>
  <si>
    <t>Food Programs - Community Programs (Exeter)</t>
  </si>
  <si>
    <t>5102-5140-4000</t>
  </si>
  <si>
    <t>Food Programs - Crisis Stabilization Space</t>
  </si>
  <si>
    <t>5103-1100-4000</t>
  </si>
  <si>
    <t>Business Cards</t>
  </si>
  <si>
    <t>5104-1100-4000</t>
  </si>
  <si>
    <t>Committee Budgets</t>
  </si>
  <si>
    <t>5104-1500-2000</t>
  </si>
  <si>
    <t>Fundraising Expenses</t>
  </si>
  <si>
    <t>5104-3110-2000</t>
  </si>
  <si>
    <t>Fundraising Expenses - My Sister's Place</t>
  </si>
  <si>
    <t>5201-1100-4000</t>
  </si>
  <si>
    <t>4 10 00</t>
  </si>
  <si>
    <t>Office Supplies &amp; Sundry - Administration</t>
  </si>
  <si>
    <t>5201-2400-4000</t>
  </si>
  <si>
    <t>Office Supplies &amp; Sundry - Strathroy</t>
  </si>
  <si>
    <t>5201-3110-2000</t>
  </si>
  <si>
    <t>Office Supplies &amp; Sundry - My Sister's Place</t>
  </si>
  <si>
    <t>5201-3210-4000</t>
  </si>
  <si>
    <t>Office Supplies &amp; Sundry - Community Wellness</t>
  </si>
  <si>
    <t>5201-3300-4000</t>
  </si>
  <si>
    <t>Office Supplies &amp; Sundry - Exeter &amp; Goderich</t>
  </si>
  <si>
    <t>5201-5000-4000</t>
  </si>
  <si>
    <t>Office Supplies &amp; Sundry - Crisis Services</t>
  </si>
  <si>
    <t>5202-1100-4000</t>
  </si>
  <si>
    <t>Computer Supplies &amp; Sundry - Administration</t>
  </si>
  <si>
    <t>5202-1400-4000</t>
  </si>
  <si>
    <t>Computer Supplies &amp; Sundry - Information Systems &amp; Technolog</t>
  </si>
  <si>
    <t>5202-4100-4000</t>
  </si>
  <si>
    <t>Computer Supplies &amp; Sundry - Property Services</t>
  </si>
  <si>
    <t>5202-4500-5600</t>
  </si>
  <si>
    <t>Computer Supplies &amp; Sundry - MOH CHO</t>
  </si>
  <si>
    <t>5202-5160-6100</t>
  </si>
  <si>
    <t>Computer Supplies &amp; Sundry - Support Line</t>
  </si>
  <si>
    <t>5202-5170-4000</t>
  </si>
  <si>
    <t>Computer Supplies &amp; Sundry - Reach Out</t>
  </si>
  <si>
    <t>5203-3120-6100</t>
  </si>
  <si>
    <t>7 65 00</t>
  </si>
  <si>
    <t>Equipment, Furniture &amp; Fixtures - Coffee House</t>
  </si>
  <si>
    <t>5203-4221-5500</t>
  </si>
  <si>
    <t>Equipment, Furniture &amp; Fixtures - William</t>
  </si>
  <si>
    <t>5203-6100-4000</t>
  </si>
  <si>
    <t>72 1 55</t>
  </si>
  <si>
    <t>Equipment, Furniture &amp; Fixtures - Facilities</t>
  </si>
  <si>
    <t>5203-6102-4000</t>
  </si>
  <si>
    <t>Equipment, Furniture &amp; Fixtures - 149B Thames Road</t>
  </si>
  <si>
    <t>5203-6103-4000</t>
  </si>
  <si>
    <t>Equipment, Furniture &amp; Fixtures - 648 Huron Street</t>
  </si>
  <si>
    <t>5203-6104-4000</t>
  </si>
  <si>
    <t xml:space="preserve">72 1 55_x000D_
</t>
  </si>
  <si>
    <t>Equipment, Furniture &amp; Fixtures - 21 Richmond Street (Strath</t>
  </si>
  <si>
    <t>5203-6105-2000</t>
  </si>
  <si>
    <t>Equipment, Furniture &amp; Fixtures - 566 Dundas Street (MSP)</t>
  </si>
  <si>
    <t>5203-6106-6100</t>
  </si>
  <si>
    <t>Equipment, Furniture &amp; Fixtures - 371/373 Hamilton Road</t>
  </si>
  <si>
    <t>5203-6200-5200</t>
  </si>
  <si>
    <t xml:space="preserve">72 5 40 76 40_x000D_
</t>
  </si>
  <si>
    <t>Equipment, Furniture &amp; Fixtures - 281 Piccadilly Street (TRT</t>
  </si>
  <si>
    <t>5203-6302-5100</t>
  </si>
  <si>
    <t>Equipment, Furniture &amp; Fixtures - 36 Frank Place (CSS)</t>
  </si>
  <si>
    <t>5203-6400-5300</t>
  </si>
  <si>
    <t>Equipment, Furniture &amp; Fixtures - Non-Profit Housing Program</t>
  </si>
  <si>
    <t>5203-6403-5300</t>
  </si>
  <si>
    <t>Equipment, Furniture &amp; Fixtures - 37 Ashley Crescent</t>
  </si>
  <si>
    <t>5203-6405-5300</t>
  </si>
  <si>
    <t>Equipment, Furniture &amp; Fixtures - 785 Homeview</t>
  </si>
  <si>
    <t>5203-6412-5300</t>
  </si>
  <si>
    <t>Equipment, Furniture &amp; Fixtures - 210 Banbury Road</t>
  </si>
  <si>
    <t>5203-6416-5300</t>
  </si>
  <si>
    <t>Equipment, Furniture &amp; Fixtures - 174 Golfdale Crescent (LSR</t>
  </si>
  <si>
    <t>5203-6417-5300</t>
  </si>
  <si>
    <t>Equipment, Furniture &amp; Fixtures - 35 Augusta</t>
  </si>
  <si>
    <t>5203-6418-5300</t>
  </si>
  <si>
    <t>Equipment, Furniture &amp; Fixtures - 1496 Jalna Boulevard</t>
  </si>
  <si>
    <t>5203-6420-5300</t>
  </si>
  <si>
    <t>Equipment, Furniture &amp; Fixtures - 457 Cleveland</t>
  </si>
  <si>
    <t>5203-6423-5300</t>
  </si>
  <si>
    <t>Equipment, Furniture &amp; Fixtures - 176 Golfdale Crescent</t>
  </si>
  <si>
    <t>5203-6425-5300</t>
  </si>
  <si>
    <t>Equipment, Furniture &amp; Fixtures - 91 Huron Street (Exeter)</t>
  </si>
  <si>
    <t>5203-6426-5300</t>
  </si>
  <si>
    <t>Equipment, Furniture &amp; Fixtures - 56 Main Street (Exeter)</t>
  </si>
  <si>
    <t>5203-6501-4000</t>
  </si>
  <si>
    <t>Equipment, Furniture &amp; Fixtures - 456 Boler Road (LSRTF)</t>
  </si>
  <si>
    <t>5204-1400-5000</t>
  </si>
  <si>
    <t>5204-3230-4000</t>
  </si>
  <si>
    <t>5204-4410-5431</t>
  </si>
  <si>
    <t>72 5 40 6 30</t>
  </si>
  <si>
    <t>5204-4500-5600</t>
  </si>
  <si>
    <t>5210-1100-4000</t>
  </si>
  <si>
    <t>69 5 91</t>
  </si>
  <si>
    <t>Purchased Services - Administration</t>
  </si>
  <si>
    <t>5210-3120-6100</t>
  </si>
  <si>
    <t>Purchased Services - Coffee House</t>
  </si>
  <si>
    <t>5210-3210-4000</t>
  </si>
  <si>
    <t>Purchased Services - Community Wellness</t>
  </si>
  <si>
    <t>5210-3230-4000</t>
  </si>
  <si>
    <t xml:space="preserve">6 95 91_x000D_
</t>
  </si>
  <si>
    <t>Purchased Services - Justice &amp; Court</t>
  </si>
  <si>
    <t>5210-4210-4000</t>
  </si>
  <si>
    <t>Purchased Services - Housing First</t>
  </si>
  <si>
    <t>5210-4222-4000</t>
  </si>
  <si>
    <t>Purchased Services - Langarth</t>
  </si>
  <si>
    <t>5210-4310-4000</t>
  </si>
  <si>
    <t>Purchased Services - Transitional RTF</t>
  </si>
  <si>
    <t>5210-4320-4000</t>
  </si>
  <si>
    <t>Purchased Services - Transitional Shared Living</t>
  </si>
  <si>
    <t>5210-4410-4000</t>
  </si>
  <si>
    <t>Purchased Services - Long-Stay RTF</t>
  </si>
  <si>
    <t>5210-4500-5600</t>
  </si>
  <si>
    <t>Purchased Services - MOH CHO</t>
  </si>
  <si>
    <t>5210-5140-4000</t>
  </si>
  <si>
    <t xml:space="preserve">72 5 40 76 60_x000D_
</t>
  </si>
  <si>
    <t>Purchased Services - Crisis Stabilization Space</t>
  </si>
  <si>
    <t>5210-5170-4000</t>
  </si>
  <si>
    <t xml:space="preserve">3 50 90_x000D_
</t>
  </si>
  <si>
    <t>Purchased Services - Reach Out</t>
  </si>
  <si>
    <t>5210-6101-4000</t>
  </si>
  <si>
    <t xml:space="preserve">9 90 00_x000D_
</t>
  </si>
  <si>
    <t>Purchased Services - 534 Queens Avenue (London Office)</t>
  </si>
  <si>
    <t>5210-6102-4000</t>
  </si>
  <si>
    <t>Purchased Services - 149B Thames Road West (Exeter Office)</t>
  </si>
  <si>
    <t>5210-6103-4000</t>
  </si>
  <si>
    <t>Purchased Services - 648 Huron Street (Crisis Centre)</t>
  </si>
  <si>
    <t>5210-6104-4000</t>
  </si>
  <si>
    <t>Purchased Services - 21 Richmond Street (Strathroy Office</t>
  </si>
  <si>
    <t>5210-6105-2000</t>
  </si>
  <si>
    <t>Purchased Services - 566 Dundas Street (MSP)</t>
  </si>
  <si>
    <t>5210-6200-5200</t>
  </si>
  <si>
    <t>9 90 00</t>
  </si>
  <si>
    <t>Purchased Services - 281 Piccadilly Street (TRTF)</t>
  </si>
  <si>
    <t>5210-6416-5300</t>
  </si>
  <si>
    <t>Purchased Services - 174 Golfdale</t>
  </si>
  <si>
    <t>5211-2210-6100</t>
  </si>
  <si>
    <t>6 10 20</t>
  </si>
  <si>
    <t>Telephone - Family Support</t>
  </si>
  <si>
    <t>5211-3120-6100</t>
  </si>
  <si>
    <t>Telephone - Coffee House</t>
  </si>
  <si>
    <t>5211-3210-4000</t>
  </si>
  <si>
    <t>Telephone - Community Wellness</t>
  </si>
  <si>
    <t>5211-3230-4000</t>
  </si>
  <si>
    <t xml:space="preserve">72 5 10 76 56_x000D_
</t>
  </si>
  <si>
    <t>Telephone - Justice &amp; Court</t>
  </si>
  <si>
    <t>5211-4210-4000</t>
  </si>
  <si>
    <t>Telephone - Housing First</t>
  </si>
  <si>
    <t>5211-4221-5500</t>
  </si>
  <si>
    <t>Telephone - William</t>
  </si>
  <si>
    <t>5211-4222-4000</t>
  </si>
  <si>
    <t>Telephone - Langarth</t>
  </si>
  <si>
    <t>5211-4223-4000</t>
  </si>
  <si>
    <t>Telephone - Nicole's Choice</t>
  </si>
  <si>
    <t>5211-4310-4000</t>
  </si>
  <si>
    <t>Telephone - Transitional RTF</t>
  </si>
  <si>
    <t>5211-4330-2000</t>
  </si>
  <si>
    <t>Telephone - Youth Apartments</t>
  </si>
  <si>
    <t>5211-5140-4000</t>
  </si>
  <si>
    <t>Telephone - Crisis Stabilization Space</t>
  </si>
  <si>
    <t>5211-6101-4000</t>
  </si>
  <si>
    <t>Telephone - 534 Queens Avenue (London Office)</t>
  </si>
  <si>
    <t>5211-6102-4000</t>
  </si>
  <si>
    <t>Telephone - 149B Thames Road West (Exeter Office)</t>
  </si>
  <si>
    <t>5211-6103-4000</t>
  </si>
  <si>
    <t>Telephone - 648 Huron Street (Crisis Centre)</t>
  </si>
  <si>
    <t>5211-6104-4000</t>
  </si>
  <si>
    <t>Telephone - 21 Richmond Street (Strathroy Office)</t>
  </si>
  <si>
    <t>5211-6105-2000</t>
  </si>
  <si>
    <t>Telephone - 566 Dundas Street (MSP)</t>
  </si>
  <si>
    <t>5211-6301-4000</t>
  </si>
  <si>
    <t>Telephone - 14 Craig Street (TSL)</t>
  </si>
  <si>
    <t>5211-6406-4000</t>
  </si>
  <si>
    <t>Telephone - 160 River Run Terrace</t>
  </si>
  <si>
    <t>5211-6407-4000</t>
  </si>
  <si>
    <t>Telephone - 108 Four Oakes Crescent (TSL)</t>
  </si>
  <si>
    <t>5211-6408-4000</t>
  </si>
  <si>
    <t>Telephone - 23 Forest View Circle (TSL)</t>
  </si>
  <si>
    <t>5211-6409-4000</t>
  </si>
  <si>
    <t>Telephone - 341 Highview Crescent (TSL)</t>
  </si>
  <si>
    <t>5211-6411-4000</t>
  </si>
  <si>
    <t>Telephone - 148 Rachel Street (TSL)</t>
  </si>
  <si>
    <t>5211-6416-4000</t>
  </si>
  <si>
    <t>Telephone - 174 Golfdale Crescent (LSRTF)</t>
  </si>
  <si>
    <t>5211-6428-4000</t>
  </si>
  <si>
    <t>Telephone - 580 Victoria Street (Strathroy)</t>
  </si>
  <si>
    <t>5211-6501-4000</t>
  </si>
  <si>
    <t>Telephone - 456 Boler Road (LSRTF)</t>
  </si>
  <si>
    <t>5212-2210-6100</t>
  </si>
  <si>
    <t>Internet - Family Support</t>
  </si>
  <si>
    <t>5212-3120-6100</t>
  </si>
  <si>
    <t>Internet - Coffee House</t>
  </si>
  <si>
    <t>5212-3230-4000</t>
  </si>
  <si>
    <t>Internet - Justice &amp; Court</t>
  </si>
  <si>
    <t>5212-4210-4000</t>
  </si>
  <si>
    <t>Internet - Housing First</t>
  </si>
  <si>
    <t>5212-4221-5500</t>
  </si>
  <si>
    <t>Internet - William</t>
  </si>
  <si>
    <t>5212-4222-4000</t>
  </si>
  <si>
    <t>Internet - Langarth</t>
  </si>
  <si>
    <t>5212-4223-4000</t>
  </si>
  <si>
    <t>Internet - Nicole's Choice</t>
  </si>
  <si>
    <t>5212-4310-4000</t>
  </si>
  <si>
    <t>Internet - Transitional RTF</t>
  </si>
  <si>
    <t>5212-5140-4000</t>
  </si>
  <si>
    <t>72 5 40 76_x000D_
 60</t>
  </si>
  <si>
    <t>Internet - Crisis Stabilization Space</t>
  </si>
  <si>
    <t>5212-6101-4000</t>
  </si>
  <si>
    <t>Internet - 534 Queens Avenue (London Office)</t>
  </si>
  <si>
    <t>5212-6102-4000</t>
  </si>
  <si>
    <t>Internet - 149B Thames Road West (Exeter Office)</t>
  </si>
  <si>
    <t>5212-6103-4000</t>
  </si>
  <si>
    <t>Internet - 648 Huron Street (Crisis Centre)</t>
  </si>
  <si>
    <t>5212-6104-4000</t>
  </si>
  <si>
    <t>Internet - 21 Richmond Street (Strathroy Office)</t>
  </si>
  <si>
    <t>5212-6105-2000</t>
  </si>
  <si>
    <t>Internet - 566 Dundas Street (MSP)</t>
  </si>
  <si>
    <t>5212-6301-4000</t>
  </si>
  <si>
    <t>Internet - 14 Craig Street (TSL)</t>
  </si>
  <si>
    <t>5212-6407-4000</t>
  </si>
  <si>
    <t>Internet - 108 Four Oakes Crescent (TSL)</t>
  </si>
  <si>
    <t>5212-6408-4000</t>
  </si>
  <si>
    <t>Internet - 23 Forest View Circle (TSL)</t>
  </si>
  <si>
    <t>5212-6409-4000</t>
  </si>
  <si>
    <t>Internet - 341 Highview Crescent (TSL)</t>
  </si>
  <si>
    <t>5212-6411-4000</t>
  </si>
  <si>
    <t>Internet - 148 Rachel Street (TSL)</t>
  </si>
  <si>
    <t>5212-6416-4000</t>
  </si>
  <si>
    <t>Internet - 174 Golfdale Crescent (LSRTF)</t>
  </si>
  <si>
    <t>5212-6428-4000</t>
  </si>
  <si>
    <t>Internet - 580 Victoria Street (Strathroy)</t>
  </si>
  <si>
    <t>5212-6501-4000</t>
  </si>
  <si>
    <t>Internet - 456 Boler Road (LSRTF)</t>
  </si>
  <si>
    <t>5213-4221-5500</t>
  </si>
  <si>
    <t>Cable - William</t>
  </si>
  <si>
    <t>5213-4222-4000</t>
  </si>
  <si>
    <t>Cable - Langarth</t>
  </si>
  <si>
    <t>5213-4223-4000</t>
  </si>
  <si>
    <t>Cable - Nicole's Choice</t>
  </si>
  <si>
    <t>5213-4310-4000</t>
  </si>
  <si>
    <t>Cable - Transitional RTF</t>
  </si>
  <si>
    <t>5213-4330-2000</t>
  </si>
  <si>
    <t>Cable - Youth Apartments</t>
  </si>
  <si>
    <t>5213-5140-4000</t>
  </si>
  <si>
    <t>Cable - Crisis Stabilization Space</t>
  </si>
  <si>
    <t>5213-6102-4000</t>
  </si>
  <si>
    <t>Cable - 149B Thames Road West (Exeter Office)</t>
  </si>
  <si>
    <t>5213-6301-4000</t>
  </si>
  <si>
    <t>Cable - 14 Craig Street (TSL)</t>
  </si>
  <si>
    <t>5213-6407-4000</t>
  </si>
  <si>
    <t>Cable - 108 Four Oakes Crescent (TSL)</t>
  </si>
  <si>
    <t>5213-6409-4000</t>
  </si>
  <si>
    <t>Cable - 341 Highview Crescent (TSL)</t>
  </si>
  <si>
    <t>5213-6411-4000</t>
  </si>
  <si>
    <t>Cable - 148 Rachel Street (TSL)</t>
  </si>
  <si>
    <t>5213-6416-4000</t>
  </si>
  <si>
    <t>Cable - 174 Golfdale Crescent (LSRTF)</t>
  </si>
  <si>
    <t>5213-6428-4000</t>
  </si>
  <si>
    <t>Cable - 580 Victoria Street (Strathroy)</t>
  </si>
  <si>
    <t>5213-6501-4000</t>
  </si>
  <si>
    <t>Cable - 456 Boler Road (LSRTF)</t>
  </si>
  <si>
    <t>5215-1400-4000</t>
  </si>
  <si>
    <t>Cell Phone</t>
  </si>
  <si>
    <t>5217-1100-4000</t>
  </si>
  <si>
    <t>Printing - Administration</t>
  </si>
  <si>
    <t>5217-2400-4000</t>
  </si>
  <si>
    <t>Printing - Strathroy</t>
  </si>
  <si>
    <t>5217-3110-2000</t>
  </si>
  <si>
    <t>Printing - My Sister's Place</t>
  </si>
  <si>
    <t>5217-3210-4000</t>
  </si>
  <si>
    <t>Printing - Community Wellness</t>
  </si>
  <si>
    <t>5217-3300-4000</t>
  </si>
  <si>
    <t>Printing - Exeter &amp; Goderich</t>
  </si>
  <si>
    <t>5217-5000-4000</t>
  </si>
  <si>
    <t>Printing - Crisis Services</t>
  </si>
  <si>
    <t>5220-1100-4000</t>
  </si>
  <si>
    <t>6 70 00</t>
  </si>
  <si>
    <t>Promotions &amp; Communications</t>
  </si>
  <si>
    <t>5220-2400-4000</t>
  </si>
  <si>
    <t>Promotions &amp; Communications - Strathroy</t>
  </si>
  <si>
    <t>5220-5000-4000</t>
  </si>
  <si>
    <t>Promotions &amp; Communications - Crisis Services</t>
  </si>
  <si>
    <t>5230-1300-4000</t>
  </si>
  <si>
    <t xml:space="preserve">72 1 20_x000D_
</t>
  </si>
  <si>
    <t>6 10 30</t>
  </si>
  <si>
    <t>Recruiting</t>
  </si>
  <si>
    <t>5231-1100-4000</t>
  </si>
  <si>
    <t>Training - Administration</t>
  </si>
  <si>
    <t>5231-1300-4000</t>
  </si>
  <si>
    <t>5231-2200-4000</t>
  </si>
  <si>
    <t>Training - Clinical</t>
  </si>
  <si>
    <t>5231-2300-4000</t>
  </si>
  <si>
    <t>Training - Peer Support</t>
  </si>
  <si>
    <t>5231-2400-4000</t>
  </si>
  <si>
    <t>Training - Strathroy</t>
  </si>
  <si>
    <t>5231-3220-4000</t>
  </si>
  <si>
    <t>Training - Public Education</t>
  </si>
  <si>
    <t>5231-3230-4000</t>
  </si>
  <si>
    <t>Training - Justice &amp; Court</t>
  </si>
  <si>
    <t>5231-3300-4000</t>
  </si>
  <si>
    <t>Training - Exeter &amp; Goderich</t>
  </si>
  <si>
    <t>5231-4000-4000</t>
  </si>
  <si>
    <t>Training - Supportive Housing</t>
  </si>
  <si>
    <t>5231-4500-5600</t>
  </si>
  <si>
    <t>Training - MOH CHO</t>
  </si>
  <si>
    <t>5231-5000-4000</t>
  </si>
  <si>
    <t xml:space="preserve">72 5 15 76_x000D_
</t>
  </si>
  <si>
    <t>Training - Crisis Services</t>
  </si>
  <si>
    <t>5231-5160-6100</t>
  </si>
  <si>
    <t>Training - Support Line</t>
  </si>
  <si>
    <t>5231-6400-5300</t>
  </si>
  <si>
    <t>Training - Non-Profit Housing Program</t>
  </si>
  <si>
    <t>5232-1300-4000</t>
  </si>
  <si>
    <t>Professional Development</t>
  </si>
  <si>
    <t>5233-1300-4000</t>
  </si>
  <si>
    <t>Conferences</t>
  </si>
  <si>
    <t>5241-1100-4000</t>
  </si>
  <si>
    <t xml:space="preserve">6 24 00_x000D_
</t>
  </si>
  <si>
    <t>Travel - Routine - Administration</t>
  </si>
  <si>
    <t>5241-1300-4000</t>
  </si>
  <si>
    <t>Travel - Routine - Human Resources</t>
  </si>
  <si>
    <t>5241-1400-4000</t>
  </si>
  <si>
    <t xml:space="preserve">72 1 25_x000D_
</t>
  </si>
  <si>
    <t>Travel - Routine - Information Systems &amp; Technology</t>
  </si>
  <si>
    <t>5241-1500-2000</t>
  </si>
  <si>
    <t>Travel - Routine - Fund Development</t>
  </si>
  <si>
    <t>5241-2000-4000</t>
  </si>
  <si>
    <t>Travel - Routine - Clinical &amp; Case Management</t>
  </si>
  <si>
    <t>5241-2100-4000</t>
  </si>
  <si>
    <t xml:space="preserve">6 23 00_x000D_
</t>
  </si>
  <si>
    <t>Travel - Routine - Case Management</t>
  </si>
  <si>
    <t>5241-2200-4000</t>
  </si>
  <si>
    <t xml:space="preserve">72 5 10 76 30_x000D_
</t>
  </si>
  <si>
    <t>Travel - Routine - Clinical</t>
  </si>
  <si>
    <t>5241-2210-6100</t>
  </si>
  <si>
    <t>Travel - Routine - Family Support</t>
  </si>
  <si>
    <t>5241-2300-4000</t>
  </si>
  <si>
    <t xml:space="preserve">72 5 51 76 11_x000D_
</t>
  </si>
  <si>
    <t>Travel - Routine - Peer Support</t>
  </si>
  <si>
    <t>5241-2400-4000</t>
  </si>
  <si>
    <t>Travel - Routine - Strathroy</t>
  </si>
  <si>
    <t>5241-2420-4000</t>
  </si>
  <si>
    <t>6 23 00</t>
  </si>
  <si>
    <t>Travel - Routine - Case Management (Strathroy)</t>
  </si>
  <si>
    <t>5241-2430-4000</t>
  </si>
  <si>
    <t>Travel - Routine - Community Programs (Strathroy)</t>
  </si>
  <si>
    <t>5241-2450-4000</t>
  </si>
  <si>
    <t>Travel - Routine - Crisis Services (Strathroy)</t>
  </si>
  <si>
    <t>5241-3000-4000</t>
  </si>
  <si>
    <t>Travel - Routine - Community Services</t>
  </si>
  <si>
    <t>5241-3110-2000</t>
  </si>
  <si>
    <t>Travel - Routine - My Sister's Place</t>
  </si>
  <si>
    <t>5241-3210-4000</t>
  </si>
  <si>
    <t>Travel - Routine - Community Wellness</t>
  </si>
  <si>
    <t>5241-3220-4000</t>
  </si>
  <si>
    <t>Travel - Routine - Public Education</t>
  </si>
  <si>
    <t>5241-3230-4000</t>
  </si>
  <si>
    <t>Travel - Routine - Justice &amp; Court</t>
  </si>
  <si>
    <t>5241-3300-4000</t>
  </si>
  <si>
    <t>Travel - Routine - Exeter &amp; Goderich</t>
  </si>
  <si>
    <t>5241-3300-7030</t>
  </si>
  <si>
    <t>6 24 40</t>
  </si>
  <si>
    <t>Travel - Huron County Peer Support</t>
  </si>
  <si>
    <t>5241-3310-4000</t>
  </si>
  <si>
    <t>Travel - Routine - Case Management (Exeter)</t>
  </si>
  <si>
    <t>5241-3320-4000</t>
  </si>
  <si>
    <t>Travel - Routine - Community Programs (Exeter)</t>
  </si>
  <si>
    <t>5241-4000-4000</t>
  </si>
  <si>
    <t>Travel - Routine - Supportive Housing</t>
  </si>
  <si>
    <t>5241-4100-4000</t>
  </si>
  <si>
    <t>Travel - Routine - Property Services</t>
  </si>
  <si>
    <t>5241-4210-4000</t>
  </si>
  <si>
    <t>Travel - Routine - Housing First</t>
  </si>
  <si>
    <t>5241-4210-7010</t>
  </si>
  <si>
    <t>Travel - Routine - Lawson NFA</t>
  </si>
  <si>
    <t>5241-4221-5500</t>
  </si>
  <si>
    <t>Travel - Routine - William</t>
  </si>
  <si>
    <t>5241-4222-4000</t>
  </si>
  <si>
    <t>Travel - Routine - Langarth</t>
  </si>
  <si>
    <t>5241-4223-4000</t>
  </si>
  <si>
    <t>Travel - Routine - Nicole's Choice</t>
  </si>
  <si>
    <t>5241-4310-4000</t>
  </si>
  <si>
    <t>Travel - Routine - Transitional RTF</t>
  </si>
  <si>
    <t>5241-4320-4000</t>
  </si>
  <si>
    <t>Travel - Routine - Transitional Shared Living</t>
  </si>
  <si>
    <t>5241-4410-4000</t>
  </si>
  <si>
    <t>Travel - Routine - Long-Stay RTF</t>
  </si>
  <si>
    <t>5241-4420-4100</t>
  </si>
  <si>
    <t>Travel - Routine - Eating Disorders Residence</t>
  </si>
  <si>
    <t>5241-4500-5600</t>
  </si>
  <si>
    <t>Travel - Routine - MOH CHO</t>
  </si>
  <si>
    <t>5241-5000-4000</t>
  </si>
  <si>
    <t>Travel - Routine - Crisis Services</t>
  </si>
  <si>
    <t>5241-5140-4000</t>
  </si>
  <si>
    <t>Travel - Routine - Crisis Stabilization Space</t>
  </si>
  <si>
    <t>5241-6400-5300</t>
  </si>
  <si>
    <t>Travel - Routine - Non-Profit Housing Program</t>
  </si>
  <si>
    <t>5243-2400-4000</t>
  </si>
  <si>
    <t>Vehicle Expenses - Strathroy</t>
  </si>
  <si>
    <t>5243-3320-4000</t>
  </si>
  <si>
    <t>Vehicle Expenses - Community Programs (Exeter)</t>
  </si>
  <si>
    <t>5243-4100-4000</t>
  </si>
  <si>
    <t>72 1  10</t>
  </si>
  <si>
    <t>Vehicle Expenses - Property Services</t>
  </si>
  <si>
    <t>5243-4500-5600</t>
  </si>
  <si>
    <t>Vehicle Expenses - MOH CHO</t>
  </si>
  <si>
    <t>5243-5110-4000</t>
  </si>
  <si>
    <t>Vehicle Expenses - Crisis Mobile Team</t>
  </si>
  <si>
    <t>5250-1100-4000</t>
  </si>
  <si>
    <t>CEO/Board of Directors Expense</t>
  </si>
  <si>
    <t>5252-1100-4000</t>
  </si>
  <si>
    <t>Staff Appreciation - CEO Expense</t>
  </si>
  <si>
    <t>5252-1200-4000</t>
  </si>
  <si>
    <t>Staff Appreciation - Finance</t>
  </si>
  <si>
    <t>5252-1300-4000</t>
  </si>
  <si>
    <t>Staff Appreciation - Human Resources</t>
  </si>
  <si>
    <t>5252-2000-4000</t>
  </si>
  <si>
    <t>Staff Appreciation - Clinical &amp; Case Management</t>
  </si>
  <si>
    <t>5252-2400-4000</t>
  </si>
  <si>
    <t>Staff Appreciation - Strathroy</t>
  </si>
  <si>
    <t>5252-3000-4000</t>
  </si>
  <si>
    <t>Staff Appreciation - Community Services</t>
  </si>
  <si>
    <t>5252-3110-2000</t>
  </si>
  <si>
    <t>Staff Appreciation - My Sister's Place</t>
  </si>
  <si>
    <t>5252-4000-4000</t>
  </si>
  <si>
    <t>Staff Appreciation - Supportive Housing</t>
  </si>
  <si>
    <t>5252-4210-4000</t>
  </si>
  <si>
    <t>Staff Appreciation - Housing First</t>
  </si>
  <si>
    <t>5252-5000-4000</t>
  </si>
  <si>
    <t>Staff Appreciation - Crisis Services</t>
  </si>
  <si>
    <t>5252-5170-4000</t>
  </si>
  <si>
    <t>Staff Appreciation - Reach Out</t>
  </si>
  <si>
    <t>5252-6400-5300</t>
  </si>
  <si>
    <t>Staff Appreciation - Non-Profit Housing Program</t>
  </si>
  <si>
    <t>5253-1300-4000</t>
  </si>
  <si>
    <t>Volunteer Appreciation</t>
  </si>
  <si>
    <t>5253-3110-2000</t>
  </si>
  <si>
    <t>Volunteer Appreciation-My Sister's Place</t>
  </si>
  <si>
    <t>5253-5160-2000</t>
  </si>
  <si>
    <t>Volunteer Appreciation - Support Line - Donation</t>
  </si>
  <si>
    <t>5253-5160-6100</t>
  </si>
  <si>
    <t>Volunteer Appreciation - Support Line</t>
  </si>
  <si>
    <t>5260-1100-4000</t>
  </si>
  <si>
    <t>6 50 90</t>
  </si>
  <si>
    <t>Honorariums, Consulting &amp; Professional Fees</t>
  </si>
  <si>
    <t>5260-1200-4000</t>
  </si>
  <si>
    <t>Honorariums, Consulting &amp; Professional Fees - Finance</t>
  </si>
  <si>
    <t>5260-1300-4000</t>
  </si>
  <si>
    <t>Honorariums, Consulting &amp; Professional Fees - Human Resource</t>
  </si>
  <si>
    <t>5260-1400-4000</t>
  </si>
  <si>
    <t>Honorariums, Consulting &amp; Professional Fees - Information Sy</t>
  </si>
  <si>
    <t>5260-1800-4000</t>
  </si>
  <si>
    <t>Honorariums, Consulting &amp; Professional Fees - Amalgamation</t>
  </si>
  <si>
    <t>5260-2200-4000</t>
  </si>
  <si>
    <t>Honorariums, Consulting &amp; Professional Fees - Clinical</t>
  </si>
  <si>
    <t>5260-2410-4000</t>
  </si>
  <si>
    <t xml:space="preserve">6 50 90_x000D_
</t>
  </si>
  <si>
    <t>Honorariums, Consulting &amp; Professional Fees - Counselling (S</t>
  </si>
  <si>
    <t>5260-3110-2000</t>
  </si>
  <si>
    <t>Honorariums, Consulting &amp; Professional Fees - My Sister's Pl</t>
  </si>
  <si>
    <t>5270-1100-4000</t>
  </si>
  <si>
    <t>Licenses, Memberships &amp; Subscriptions</t>
  </si>
  <si>
    <t>5270-1200-4000</t>
  </si>
  <si>
    <t>Licenses, Memberships &amp; Subscriptions - Finance</t>
  </si>
  <si>
    <t>5270-1300-4000</t>
  </si>
  <si>
    <t>Licenses, Memberships &amp; Subscriptions - Human Resources</t>
  </si>
  <si>
    <t>5270-1400-4000</t>
  </si>
  <si>
    <t xml:space="preserve">6 40 30_x000D_
</t>
  </si>
  <si>
    <t>Licenses, Memberships &amp; Subscriptions - Information Systems</t>
  </si>
  <si>
    <t>5270-2400-4000</t>
  </si>
  <si>
    <t>Licenses, Memberships &amp; Subscriptions - Strathroy</t>
  </si>
  <si>
    <t>5270-3110-2000</t>
  </si>
  <si>
    <t>Licenses, Memberships &amp; Subscriptions - My Sister's Place</t>
  </si>
  <si>
    <t>5270-3300-4000</t>
  </si>
  <si>
    <t>Licenses, Memberships &amp; Subscriptions - Exeter &amp; Goderich</t>
  </si>
  <si>
    <t>5270-4100-5410</t>
  </si>
  <si>
    <t>Licenses, Memberships &amp; Subscriptions - MOH Homelessness</t>
  </si>
  <si>
    <t>5270-5000-4000</t>
  </si>
  <si>
    <t>Licenses, Memberships &amp; Subscriptions - Crisis Services</t>
  </si>
  <si>
    <t>5270-5160-6100</t>
  </si>
  <si>
    <t>Licenses, Memberships &amp; Subscriptions - Support Line</t>
  </si>
  <si>
    <t>5270-5170-4000</t>
  </si>
  <si>
    <t>Licenses, Memberships &amp; Subscriptions - Reach Out</t>
  </si>
  <si>
    <t>5270-6400-5300</t>
  </si>
  <si>
    <t>Licenses, Memberships &amp; Subscriptions - Non-Profit Housing</t>
  </si>
  <si>
    <t>5281-1100-4000</t>
  </si>
  <si>
    <t>6 80 00</t>
  </si>
  <si>
    <t>5281-6105-2000</t>
  </si>
  <si>
    <t>Insurance - 566 Dundas Street (MSP)</t>
  </si>
  <si>
    <t>5281-6106-6100</t>
  </si>
  <si>
    <t>Insurance - 371/373 Hamilton Road (Coffee House)</t>
  </si>
  <si>
    <t>5281-6200-5200</t>
  </si>
  <si>
    <t>Insurance - 281 Piccadilly Street (TRTF)</t>
  </si>
  <si>
    <t>5281-6301-5100</t>
  </si>
  <si>
    <t>Insurance - 14 Craig St. (TSL)</t>
  </si>
  <si>
    <t>5281-6302-5100</t>
  </si>
  <si>
    <t>Insurance - 36 Frank Place (CSS)</t>
  </si>
  <si>
    <t>5281-6400-5300</t>
  </si>
  <si>
    <t>Insurance - Non-Profit Housing Program</t>
  </si>
  <si>
    <t>5282-1300-4000</t>
  </si>
  <si>
    <t>3 50 50</t>
  </si>
  <si>
    <t>WSIB (AIG Insurance)</t>
  </si>
  <si>
    <t>5291-1100-4000</t>
  </si>
  <si>
    <t>6 30 10</t>
  </si>
  <si>
    <t>Bank Charges - PGT</t>
  </si>
  <si>
    <t>5291-1500-2000</t>
  </si>
  <si>
    <t>Bank Charges - Donation Fund</t>
  </si>
  <si>
    <t>5291-4500-1000</t>
  </si>
  <si>
    <t>5293-1100-4000</t>
  </si>
  <si>
    <t>6 30 30</t>
  </si>
  <si>
    <t>Interest Charges</t>
  </si>
  <si>
    <t>5301-1600-1000</t>
  </si>
  <si>
    <t xml:space="preserve">73 5 50 76 10_x000D_
</t>
  </si>
  <si>
    <t>Rent Paid - Corporate Training</t>
  </si>
  <si>
    <t>5301-2210-6100</t>
  </si>
  <si>
    <t>Rent Paid - Family Support</t>
  </si>
  <si>
    <t>5301-3230-4000</t>
  </si>
  <si>
    <t>Rent Paid - Justice &amp; Court</t>
  </si>
  <si>
    <t>5301-3300-4000</t>
  </si>
  <si>
    <t>9 60 00</t>
  </si>
  <si>
    <t>Rent Paid - Exeter &amp; Goderich</t>
  </si>
  <si>
    <t>5301-3300-7030</t>
  </si>
  <si>
    <t>Rent Paid - Huron County Rent Supplements</t>
  </si>
  <si>
    <t>5301-4100-5410</t>
  </si>
  <si>
    <t>Rent Paid - MOH Homelessness</t>
  </si>
  <si>
    <t>5301-4100-5420</t>
  </si>
  <si>
    <t>Rent Paid - MOH Addictions</t>
  </si>
  <si>
    <t>5301-4100-5430</t>
  </si>
  <si>
    <t>Rent Paid - MOH MH&amp;A 1,000</t>
  </si>
  <si>
    <t>5301-4100-5431</t>
  </si>
  <si>
    <t>Rent Paid - MOH MH&amp;A 1,500</t>
  </si>
  <si>
    <t>5301-4100-5440</t>
  </si>
  <si>
    <t>Rent Paid - MOH Homelessness - Additional</t>
  </si>
  <si>
    <t>5301-4100-6200</t>
  </si>
  <si>
    <t>Rent Paid - City of London Rent Subsidies</t>
  </si>
  <si>
    <t>5301-4210-4000</t>
  </si>
  <si>
    <t>Rent Paid - Housing First</t>
  </si>
  <si>
    <t>5301-4210-6300</t>
  </si>
  <si>
    <t>Rent Paid - CHPI Housing First</t>
  </si>
  <si>
    <t>5301-4210-7010</t>
  </si>
  <si>
    <t>Rent Paid - Lawson NFA</t>
  </si>
  <si>
    <t>5301-4221-5500</t>
  </si>
  <si>
    <t>Rent Paid - MOH Transformation</t>
  </si>
  <si>
    <t>5301-4222-4000</t>
  </si>
  <si>
    <t>Rent Paid - Langarth</t>
  </si>
  <si>
    <t>5301-4330-2000</t>
  </si>
  <si>
    <t>Rent Paid - Youth Apartments</t>
  </si>
  <si>
    <t>5301-5140-4000</t>
  </si>
  <si>
    <t>Rent Paid - Crisis Stabilization Space</t>
  </si>
  <si>
    <t>5301-6101-4000</t>
  </si>
  <si>
    <t>Rent Paid - 534 Queens Avenue (London Office)</t>
  </si>
  <si>
    <t>5301-6103-4000</t>
  </si>
  <si>
    <t>Rent Paid - 648 Huron St. (Crisis Centre)</t>
  </si>
  <si>
    <t>5301-6104-4000</t>
  </si>
  <si>
    <t>Rent Paid - 21 Richmond Street (Strathroy Office)</t>
  </si>
  <si>
    <t>5302-6101-4000</t>
  </si>
  <si>
    <t>9 70 00</t>
  </si>
  <si>
    <t>Municipal Taxes - 534 Queens Avenue (London Office)</t>
  </si>
  <si>
    <t>5302-6102-4000</t>
  </si>
  <si>
    <t>Municipal Taxes - 149B Thames Road West (Exeter Office)</t>
  </si>
  <si>
    <t>5302-6104-4000</t>
  </si>
  <si>
    <t>Municipal Taxes - 21 Richmond Street (Strathroy Office)</t>
  </si>
  <si>
    <t>5302-6105-2000</t>
  </si>
  <si>
    <t>Municipal Taxes - 566 Dundas Street (MSP)</t>
  </si>
  <si>
    <t>5302-6106-6100</t>
  </si>
  <si>
    <t>Municipal Taxes - 371/373 Hamilton Road (Coffee House)</t>
  </si>
  <si>
    <t>5302-6200-5200</t>
  </si>
  <si>
    <t>Municipal Taxes - 281 Piccadilly Street (TRTF)</t>
  </si>
  <si>
    <t>5302-6301-5100</t>
  </si>
  <si>
    <t>Municipal Taxes - 14 Craig Street (TSL)</t>
  </si>
  <si>
    <t>5302-6302-5100</t>
  </si>
  <si>
    <t>Municipal Taxes - 36 Frank Place (CSS)</t>
  </si>
  <si>
    <t>5302-6400-5300</t>
  </si>
  <si>
    <t>Municipal Taxes - Non-Profit Housing Program</t>
  </si>
  <si>
    <t>5302-6401-5300</t>
  </si>
  <si>
    <t>Municipal Taxes - 103 River Run Terrace</t>
  </si>
  <si>
    <t>5302-6402-5300</t>
  </si>
  <si>
    <t>Municipal Taxes - 35 Ashley Crescent</t>
  </si>
  <si>
    <t>5302-6403-5300</t>
  </si>
  <si>
    <t>Municipal Taxes - 37 Ashley Crescent</t>
  </si>
  <si>
    <t>5302-6404-5300</t>
  </si>
  <si>
    <t>Municipal Taxes - 783 Homeview Road</t>
  </si>
  <si>
    <t>5302-6405-5300</t>
  </si>
  <si>
    <t>Municipal Taxes - 785 Homeview Road</t>
  </si>
  <si>
    <t>5302-6406-5300</t>
  </si>
  <si>
    <t>Municipal Taxes - 160 River Run Terrace</t>
  </si>
  <si>
    <t>5302-6407-5300</t>
  </si>
  <si>
    <t>Municipal Taxes - 108 Four Oakes Crescent (TSL)</t>
  </si>
  <si>
    <t>5302-6408-5300</t>
  </si>
  <si>
    <t>Municipal Taxes - 23 Forest View Circle (TSL)</t>
  </si>
  <si>
    <t>5302-6409-5300</t>
  </si>
  <si>
    <t>Municipal Taxes - 341 Highview Crescent (TSL)</t>
  </si>
  <si>
    <t>5302-6410-5300</t>
  </si>
  <si>
    <t>Municipal Taxes - 15 Ellsworth Close</t>
  </si>
  <si>
    <t>5302-6411-5300</t>
  </si>
  <si>
    <t>Municipal Taxes - 148 Rachel Street (TSL)</t>
  </si>
  <si>
    <t>5302-6412-5300</t>
  </si>
  <si>
    <t>Municipal Taxes - 210 Banbury Road</t>
  </si>
  <si>
    <t>5302-6413-5300</t>
  </si>
  <si>
    <t>Municipal Taxes - 212 Banbury Road</t>
  </si>
  <si>
    <t>5302-6414-5300</t>
  </si>
  <si>
    <t>Municipal Taxes - 889 Shelborne Street</t>
  </si>
  <si>
    <t>5302-6415-5300</t>
  </si>
  <si>
    <t>Municipal Taxes - 891 Shelborne Street</t>
  </si>
  <si>
    <t>5302-6416-5300</t>
  </si>
  <si>
    <t>Municipal Taxes - 174 Golfdale Crescent (LSRTF)</t>
  </si>
  <si>
    <t>5302-6417-5300</t>
  </si>
  <si>
    <t>Municipal Taxes - 35 Augusta Crescent</t>
  </si>
  <si>
    <t>5302-6418-5300</t>
  </si>
  <si>
    <t>Municipal Taxes - 1496 Jalna Boulevard</t>
  </si>
  <si>
    <t>5302-6419-5300</t>
  </si>
  <si>
    <t>Municipal Taxes - 67 Edgemere Crescent</t>
  </si>
  <si>
    <t>5302-6420-5300</t>
  </si>
  <si>
    <t>Municipal Taxes - 457 Cleveland Avenue</t>
  </si>
  <si>
    <t>5302-6421-5300</t>
  </si>
  <si>
    <t>Municipal Taxes - 119 Cecillia Avenue</t>
  </si>
  <si>
    <t>5302-6422-5300</t>
  </si>
  <si>
    <t>Municipal Taxes - 121 Cecillia Avenue</t>
  </si>
  <si>
    <t>5302-6423-5300</t>
  </si>
  <si>
    <t>Municipal Taxes - 176 Golfdale Crescent</t>
  </si>
  <si>
    <t>5302-6424-5300</t>
  </si>
  <si>
    <t>Municipal Taxes - 111 William Street (Exeter)</t>
  </si>
  <si>
    <t>5302-6425-5300</t>
  </si>
  <si>
    <t>Municipal Taxes - 91 Huron Street (Exeter)</t>
  </si>
  <si>
    <t>5302-6426-5300</t>
  </si>
  <si>
    <t>Municipal Taxes - 56 Main Street (Exeter)</t>
  </si>
  <si>
    <t>5302-6427-5300</t>
  </si>
  <si>
    <t>Municipal Taxes - 110 Victoria Street (Exeter)</t>
  </si>
  <si>
    <t>5302-6428-5300</t>
  </si>
  <si>
    <t>Municipal Taxes - 580 Victoria Street (Strathroy)</t>
  </si>
  <si>
    <t>5302-6501-4000</t>
  </si>
  <si>
    <t>Municipal Taxes - 456 Boler Road (LSRTF)</t>
  </si>
  <si>
    <t>5303-6200-5200</t>
  </si>
  <si>
    <t>9 62 00</t>
  </si>
  <si>
    <t>Mortgage Principle - 281 Piccadilly Street (TRTF)</t>
  </si>
  <si>
    <t>5303-6302-5100</t>
  </si>
  <si>
    <t>Mortgage Principle - 36 Frank Place (CSS)</t>
  </si>
  <si>
    <t>5303-6400-5300</t>
  </si>
  <si>
    <t>Mortgage Principle - Non-Profit Housing Program</t>
  </si>
  <si>
    <t>5304-6200-5200</t>
  </si>
  <si>
    <t>9 55 00</t>
  </si>
  <si>
    <t>Mortgage Interest - 281 Piccadilly Street (TRTF)</t>
  </si>
  <si>
    <t>5304-6302-5100</t>
  </si>
  <si>
    <t>Mortgage Interest - 36 Frank Place (CSS)</t>
  </si>
  <si>
    <t>5304-6400-5300</t>
  </si>
  <si>
    <t>Mortgage Interest - Non-Profit Housing Program</t>
  </si>
  <si>
    <t>5311-3300-7030</t>
  </si>
  <si>
    <t>4 30 40</t>
  </si>
  <si>
    <t>Hydro - Huron County Rent Supplements</t>
  </si>
  <si>
    <t>5311-4100-5410</t>
  </si>
  <si>
    <t>Hydro - MOH Homelessness</t>
  </si>
  <si>
    <t>5311-4100-5430</t>
  </si>
  <si>
    <t>Hydro - MOH MH&amp;A 1,000</t>
  </si>
  <si>
    <t>5311-4100-5431</t>
  </si>
  <si>
    <t>Hydro - MOH MH&amp;A 1,500</t>
  </si>
  <si>
    <t>5311-6101-4000</t>
  </si>
  <si>
    <t>Hydro - 534 Queens Avenue (London Office)</t>
  </si>
  <si>
    <t>5311-6102-4000</t>
  </si>
  <si>
    <t>Hydro - 149B Thames Road West (Exeter Office)</t>
  </si>
  <si>
    <t>5311-6103-4000</t>
  </si>
  <si>
    <t>Hydro - 648 Huron Street (Crisis Centre)</t>
  </si>
  <si>
    <t>5311-6104-4000</t>
  </si>
  <si>
    <t>Hydro - 21 Richmond Street (Strathroy Office)</t>
  </si>
  <si>
    <t>5311-6105-2000</t>
  </si>
  <si>
    <t>Hydro - 566 Dundas Street (MSP)</t>
  </si>
  <si>
    <t>5311-6106-6100</t>
  </si>
  <si>
    <t>Hydro - 371/373 Hamilton Road (Coffee House)</t>
  </si>
  <si>
    <t>5311-6200-5200</t>
  </si>
  <si>
    <t>Hydro - 281 Piccadilly Street (TRTF)</t>
  </si>
  <si>
    <t>5311-6301-5100</t>
  </si>
  <si>
    <t>Hydro - 14 Craig Street (TSL)</t>
  </si>
  <si>
    <t>5311-6302-5100</t>
  </si>
  <si>
    <t>Hydro - 36 Frank Place (CSS)</t>
  </si>
  <si>
    <t>5311-6400-5300</t>
  </si>
  <si>
    <t>Hydro - Non-Profit Housing Program</t>
  </si>
  <si>
    <t>5311-6401-5300</t>
  </si>
  <si>
    <t>Hydro - 103 River Run Terrace</t>
  </si>
  <si>
    <t>5311-6402-5300</t>
  </si>
  <si>
    <t>Hydro - 35 Ashley Crescent</t>
  </si>
  <si>
    <t>5311-6403-5300</t>
  </si>
  <si>
    <t>Hydro - 37 Ashley Crescent</t>
  </si>
  <si>
    <t>5311-6404-5300</t>
  </si>
  <si>
    <t>Hydro - 783 Homeview Road</t>
  </si>
  <si>
    <t>5311-6405-5300</t>
  </si>
  <si>
    <t>Hydro - 785 Homeview Road</t>
  </si>
  <si>
    <t>5311-6406-5300</t>
  </si>
  <si>
    <t>Hydro - 160 River Run Terrace</t>
  </si>
  <si>
    <t>5311-6407-5300</t>
  </si>
  <si>
    <t>Hydro - 108 Four Oakes Crescent (TSL)</t>
  </si>
  <si>
    <t>5311-6408-5300</t>
  </si>
  <si>
    <t>Hydro - 23 Forest View Circle (TSL)</t>
  </si>
  <si>
    <t>5311-6409-5300</t>
  </si>
  <si>
    <t>Hydro - 341 Highview Crescent (TSL)</t>
  </si>
  <si>
    <t>5311-6410-5300</t>
  </si>
  <si>
    <t>Hydro - 15 Ellsworth Close</t>
  </si>
  <si>
    <t>5311-6411-5300</t>
  </si>
  <si>
    <t>Hydro - 148 Rachel Street (TSL)</t>
  </si>
  <si>
    <t>5311-6412-5300</t>
  </si>
  <si>
    <t>Hydro - 210 Banbury Road</t>
  </si>
  <si>
    <t>5311-6413-5300</t>
  </si>
  <si>
    <t>Hydro - 212 Banbury Road</t>
  </si>
  <si>
    <t>5311-6414-5300</t>
  </si>
  <si>
    <t>Hydro - 889 Shelborne Street</t>
  </si>
  <si>
    <t>5311-6415-5300</t>
  </si>
  <si>
    <t>Hydro - 891 Shelborne Street</t>
  </si>
  <si>
    <t>5311-6416-5300</t>
  </si>
  <si>
    <t>Hydro - 174 Golfdale Crescent (LSRTF)</t>
  </si>
  <si>
    <t>5311-6417-5300</t>
  </si>
  <si>
    <t>Hydro - 35 Augusta Crescent</t>
  </si>
  <si>
    <t>5311-6418-5300</t>
  </si>
  <si>
    <t>Hydro - 1496 Jalna Boulevard</t>
  </si>
  <si>
    <t>5311-6419-5300</t>
  </si>
  <si>
    <t>Hydro - 67 Edgemere Crescent</t>
  </si>
  <si>
    <t>5311-6420-5300</t>
  </si>
  <si>
    <t>Hydro - 457 Cleveland Avenue</t>
  </si>
  <si>
    <t>5311-6421-5300</t>
  </si>
  <si>
    <t>Hydro - 119 Cecillia Avenue</t>
  </si>
  <si>
    <t>5311-6422-5300</t>
  </si>
  <si>
    <t>Hydro - 121 Cecillia Avenue</t>
  </si>
  <si>
    <t>5311-6423-5300</t>
  </si>
  <si>
    <t>Hydro - 176 Golfdale Crescent</t>
  </si>
  <si>
    <t>5311-6424-5300</t>
  </si>
  <si>
    <t>Hydro - 111 William Street (Exeter)</t>
  </si>
  <si>
    <t>5311-6425-5300</t>
  </si>
  <si>
    <t>Hydro - 91 Huron Street (Exeter)</t>
  </si>
  <si>
    <t>5311-6426-5300</t>
  </si>
  <si>
    <t>Hydro - 56 Main Street (Exeter)</t>
  </si>
  <si>
    <t>5311-6427-5300</t>
  </si>
  <si>
    <t>Hydro - 110 Victoria Street (Exeter)</t>
  </si>
  <si>
    <t>5311-6428-5300</t>
  </si>
  <si>
    <t>Hydro - 580 Victoria Street (Strathroy)</t>
  </si>
  <si>
    <t>5311-6501-4000</t>
  </si>
  <si>
    <t>Hydro - 456 Boler Road (LSRTF)</t>
  </si>
  <si>
    <t>5311-6502-4000</t>
  </si>
  <si>
    <t>Hydro - 837 Talbot Street (LSRTF)</t>
  </si>
  <si>
    <t>5312-4100-5410</t>
  </si>
  <si>
    <t>4 30 30</t>
  </si>
  <si>
    <t>Natural Gas - MOH Homelessness</t>
  </si>
  <si>
    <t>5312-4100-5430</t>
  </si>
  <si>
    <t>Natural Gas - MOH MH&amp;A 1,000</t>
  </si>
  <si>
    <t>5312-6101-4000</t>
  </si>
  <si>
    <t>Natural Gas - 534 Queens Avenue (London Office)</t>
  </si>
  <si>
    <t>5312-6102-4000</t>
  </si>
  <si>
    <t>Natural Gas - 149B Thames Road West (Exeter Office)</t>
  </si>
  <si>
    <t>5312-6103-4000</t>
  </si>
  <si>
    <t>Natural Gas - 648 Huron Street (Crisis Centre)</t>
  </si>
  <si>
    <t>5312-6104-4000</t>
  </si>
  <si>
    <t>Natural Gas - 21 Richmond Street (Strathroy Office)</t>
  </si>
  <si>
    <t>5312-6105-2000</t>
  </si>
  <si>
    <t>Natural Gas - 566 Dundas Street (MSP)</t>
  </si>
  <si>
    <t>5312-6106-6100</t>
  </si>
  <si>
    <t>Natural Gas - 371/373 Hamilton Road (Coffee House)</t>
  </si>
  <si>
    <t>5312-6200-5200</t>
  </si>
  <si>
    <t>Natural Gas - 281 Piccadilly Street (TRTF)</t>
  </si>
  <si>
    <t>5312-6301-5100</t>
  </si>
  <si>
    <t>Natural Gas - 14 Craig Street (TSL)</t>
  </si>
  <si>
    <t>5312-6302-5100</t>
  </si>
  <si>
    <t>Natural Gas - 36 Frank Place (CSS)</t>
  </si>
  <si>
    <t>5312-6400-5300</t>
  </si>
  <si>
    <t>Natural Gas - Non-Profit Housing Program</t>
  </si>
  <si>
    <t>5312-6401-5300</t>
  </si>
  <si>
    <t>Natural Gas - 103 River Run Terrace</t>
  </si>
  <si>
    <t>5312-6402-5300</t>
  </si>
  <si>
    <t>Natural Gas - 35 Ashley Crescent</t>
  </si>
  <si>
    <t>5312-6403-5300</t>
  </si>
  <si>
    <t>Natural Gas - 37 Ashley Crescent</t>
  </si>
  <si>
    <t>5312-6404-5300</t>
  </si>
  <si>
    <t>Natural Gas - 783 Homeview Road</t>
  </si>
  <si>
    <t>5312-6405-5300</t>
  </si>
  <si>
    <t>Natural Gas - 785 Homeview Road</t>
  </si>
  <si>
    <t>5312-6406-5300</t>
  </si>
  <si>
    <t>Natural Gas - 160 River Run Terrace</t>
  </si>
  <si>
    <t>5312-6407-5300</t>
  </si>
  <si>
    <t>Natural Gas - 108 Four Oakes Crescent (TSL)</t>
  </si>
  <si>
    <t>5312-6408-5300</t>
  </si>
  <si>
    <t>Natural Gas - 23 Forest View Circle (TSL)</t>
  </si>
  <si>
    <t>5312-6409-5300</t>
  </si>
  <si>
    <t>Natural Gas - 341 Highview Crescent (TSL)</t>
  </si>
  <si>
    <t>5312-6410-5300</t>
  </si>
  <si>
    <t>Natural Gas - 15 Ellsworth Close</t>
  </si>
  <si>
    <t>5312-6411-5300</t>
  </si>
  <si>
    <t>Natural Gas - 148 Rachel Street (TSL)</t>
  </si>
  <si>
    <t>5312-6412-5300</t>
  </si>
  <si>
    <t>Natural Gas - 210 Banbury Road</t>
  </si>
  <si>
    <t>5312-6413-5300</t>
  </si>
  <si>
    <t>Natural Gas - 212 Banbury Road</t>
  </si>
  <si>
    <t>5312-6414-5300</t>
  </si>
  <si>
    <t>Natural Gas - 889 Shelborne Street</t>
  </si>
  <si>
    <t>5312-6415-5300</t>
  </si>
  <si>
    <t>Natural Gas - 891 Shelborne Street</t>
  </si>
  <si>
    <t>5312-6416-5300</t>
  </si>
  <si>
    <t>Natural Gas - 174 Golfdale Crescent (LSRTF)</t>
  </si>
  <si>
    <t>5312-6417-5300</t>
  </si>
  <si>
    <t>Natural Gas - 35 Augusta Crescent</t>
  </si>
  <si>
    <t>5312-6418-5300</t>
  </si>
  <si>
    <t>Natural Gas - 1496 Jalna Boulevard</t>
  </si>
  <si>
    <t>5312-6419-5300</t>
  </si>
  <si>
    <t>Natural Gas - 67 Edgemere Crescent</t>
  </si>
  <si>
    <t>5312-6420-5300</t>
  </si>
  <si>
    <t>Natural Gas - 457 Cleveland Avenue</t>
  </si>
  <si>
    <t>5312-6421-5300</t>
  </si>
  <si>
    <t>Natural Gas - 119 Cecillia Avenue</t>
  </si>
  <si>
    <t>5312-6422-5300</t>
  </si>
  <si>
    <t>Natural Gas - 121 Cecillia Avenue</t>
  </si>
  <si>
    <t>5312-6423-5300</t>
  </si>
  <si>
    <t>Natural Gas - 176 Golfdale Crescent</t>
  </si>
  <si>
    <t>5312-6424-5300</t>
  </si>
  <si>
    <t>Natural Gas - 111 William Street (Exeter)</t>
  </si>
  <si>
    <t>5312-6425-5300</t>
  </si>
  <si>
    <t>Natural Gas - 91 Huron Street (Exeter)</t>
  </si>
  <si>
    <t>5312-6426-5300</t>
  </si>
  <si>
    <t>Natural Gas - 56 Main Street (Exeter)</t>
  </si>
  <si>
    <t>5312-6427-5300</t>
  </si>
  <si>
    <t>Natural Gas - 110 Victoria Street (Exeter)</t>
  </si>
  <si>
    <t>5312-6428-5300</t>
  </si>
  <si>
    <t>Natural Gas - 580 Victoria Street (Strathroy)</t>
  </si>
  <si>
    <t>5312-6501-4000</t>
  </si>
  <si>
    <t>Natural Gas - 456 Boler Road (LSRTF)</t>
  </si>
  <si>
    <t>5312-6502-4000</t>
  </si>
  <si>
    <t>Natural Gas - 837 Talbot Street (LSRTF)</t>
  </si>
  <si>
    <t>5313-6102-4000</t>
  </si>
  <si>
    <t>4 30 50</t>
  </si>
  <si>
    <t>Water - 149B Thames Road West (Exeter Office)</t>
  </si>
  <si>
    <t>5313-6103-4000</t>
  </si>
  <si>
    <t>Water - 648 Huron Street (Crisis Centre)</t>
  </si>
  <si>
    <t>5313-6105-2000</t>
  </si>
  <si>
    <t>Water - 566 Dundas Street (MSP)</t>
  </si>
  <si>
    <t>5313-6106-6100</t>
  </si>
  <si>
    <t>Water - 371/373 Hamilton Road (Coffee House)</t>
  </si>
  <si>
    <t>5313-6200-5200</t>
  </si>
  <si>
    <t>Water - 281 Piccadilly Street (TRTF)</t>
  </si>
  <si>
    <t>5313-6301-5100</t>
  </si>
  <si>
    <t>Water - 14 Craig Street (TSL)</t>
  </si>
  <si>
    <t>5313-6302-5100</t>
  </si>
  <si>
    <t>Water - 36 Frank Place (CSS)</t>
  </si>
  <si>
    <t>5313-6400-5300</t>
  </si>
  <si>
    <t>Water - Non-Profit Housing Program</t>
  </si>
  <si>
    <t>5313-6401-5300</t>
  </si>
  <si>
    <t>Water - 103 River Run Terrace</t>
  </si>
  <si>
    <t>5313-6402-5300</t>
  </si>
  <si>
    <t>Water - 35 Ashley Crescent</t>
  </si>
  <si>
    <t>5313-6403-5300</t>
  </si>
  <si>
    <t>Water - 37 Ashley Crescent</t>
  </si>
  <si>
    <t>5313-6404-5300</t>
  </si>
  <si>
    <t>Water - 783 Homeview Road</t>
  </si>
  <si>
    <t>5313-6405-5300</t>
  </si>
  <si>
    <t>Water - 785 Homeview Road</t>
  </si>
  <si>
    <t>5313-6406-5300</t>
  </si>
  <si>
    <t>Water - 160 River Run Terrace</t>
  </si>
  <si>
    <t>5313-6407-5300</t>
  </si>
  <si>
    <t>Water - 108 Four Oakes Crescent (TSL)</t>
  </si>
  <si>
    <t>5313-6408-5300</t>
  </si>
  <si>
    <t>Water - 23 Forest View Circle (TSL)</t>
  </si>
  <si>
    <t>5313-6409-5300</t>
  </si>
  <si>
    <t>Water - 341 Highview Crescent (TSL)</t>
  </si>
  <si>
    <t>5313-6410-5300</t>
  </si>
  <si>
    <t>Water - 15 Ellsworth Close</t>
  </si>
  <si>
    <t>5313-6412-5300</t>
  </si>
  <si>
    <t>Water - 210 Banbury Road</t>
  </si>
  <si>
    <t>5313-6413-5300</t>
  </si>
  <si>
    <t>Water - 212 Banbury Road</t>
  </si>
  <si>
    <t>5313-6414-5300</t>
  </si>
  <si>
    <t>Water - 889 Shelborne Street</t>
  </si>
  <si>
    <t>5313-6415-5300</t>
  </si>
  <si>
    <t>Water - 891 Shelborne Street</t>
  </si>
  <si>
    <t>5313-6416-5300</t>
  </si>
  <si>
    <t>Water - 174 Golfdale Crescent (LSRTF)</t>
  </si>
  <si>
    <t>5313-6417-5300</t>
  </si>
  <si>
    <t>Water - 35 Augusta Crescent</t>
  </si>
  <si>
    <t>5313-6418-5300</t>
  </si>
  <si>
    <t>Water - 1496 Jalna Boulevard</t>
  </si>
  <si>
    <t>5313-6419-5300</t>
  </si>
  <si>
    <t>Water - 67 Edgemere Crescent</t>
  </si>
  <si>
    <t>5313-6420-5300</t>
  </si>
  <si>
    <t>Water - 457 Cleveland Avenue</t>
  </si>
  <si>
    <t>5313-6421-5300</t>
  </si>
  <si>
    <t>Water - 119 Cecillia Avenue</t>
  </si>
  <si>
    <t>5313-6422-5300</t>
  </si>
  <si>
    <t>Water - 121 Cecillia Avenue</t>
  </si>
  <si>
    <t>5313-6423-5300</t>
  </si>
  <si>
    <t>Water - 176 Golfdale Crescent</t>
  </si>
  <si>
    <t>5313-6424-5300</t>
  </si>
  <si>
    <t>Water - 111 William Street (Exeter)</t>
  </si>
  <si>
    <t>5313-6425-5300</t>
  </si>
  <si>
    <t>Water - 91 Huron Street (Exeter)</t>
  </si>
  <si>
    <t>5313-6426-5300</t>
  </si>
  <si>
    <t>Water - 56 Main Street (Exeter)</t>
  </si>
  <si>
    <t>5313-6427-5300</t>
  </si>
  <si>
    <t>Water - 110 Victoria Street (Exeter)</t>
  </si>
  <si>
    <t>5313-6501-4000</t>
  </si>
  <si>
    <t>Water - 456 Boler Road (LSRTF)</t>
  </si>
  <si>
    <t>5313-6502-4000</t>
  </si>
  <si>
    <t>Water - 837 Talbot Street (LSRTF)</t>
  </si>
  <si>
    <t>5321-4100-5410</t>
  </si>
  <si>
    <t>4 35 00</t>
  </si>
  <si>
    <t>Repairs &amp; Maintenance - MOH Homelessness</t>
  </si>
  <si>
    <t>5321-4100-5420</t>
  </si>
  <si>
    <t>Repairs &amp; Maintenance - MOH Addictions</t>
  </si>
  <si>
    <t>5321-4100-5440</t>
  </si>
  <si>
    <t>Repairs &amp; Maintenance - MOH Homelessness - Addiltional</t>
  </si>
  <si>
    <t>5321-6100-4000</t>
  </si>
  <si>
    <t>Repairs &amp; Maintenance - Facilities</t>
  </si>
  <si>
    <t>5321-6101-4000</t>
  </si>
  <si>
    <t>Repairs &amp; Maintenance - 534 Queens Avenue (London Office)</t>
  </si>
  <si>
    <t>5321-6102-4000</t>
  </si>
  <si>
    <t>Repairs &amp; Maintenance - 149B Thames Road West (Exeter Office</t>
  </si>
  <si>
    <t>5321-6103-4000</t>
  </si>
  <si>
    <t>Repairs &amp; Maintenance - 648 Huron Street (Crisis Centre)</t>
  </si>
  <si>
    <t>5321-6104-4000</t>
  </si>
  <si>
    <t>Repairs &amp; Maintenance - 21 Richmond Street (Strathroy Office</t>
  </si>
  <si>
    <t>5321-6105-2000</t>
  </si>
  <si>
    <t>Repairs &amp; Maintenance - 566 Dundas Street (MSP)</t>
  </si>
  <si>
    <t>5321-6106-6100</t>
  </si>
  <si>
    <t>Repairs &amp; Maintenance - 371/373 Hamilton Road (Coffee House)</t>
  </si>
  <si>
    <t>5321-6200-5200</t>
  </si>
  <si>
    <t>Repairs &amp; Maintenance - 281 Piccadilly Street (TRTF)</t>
  </si>
  <si>
    <t>5321-6301-5100</t>
  </si>
  <si>
    <t>Repairs &amp; Maintenance - 14 Craig Street (TSL)</t>
  </si>
  <si>
    <t>5321-6302-5100</t>
  </si>
  <si>
    <t>Repairs &amp; Maintenance - 36 Frank Place (CSS)</t>
  </si>
  <si>
    <t>5321-6400-5300</t>
  </si>
  <si>
    <t>Repairs &amp; Maintenance - Non-Profit Housing Program</t>
  </si>
  <si>
    <t>5321-6401-5300</t>
  </si>
  <si>
    <t>Repairs &amp; Maintenance - 103 River Run Terrace</t>
  </si>
  <si>
    <t>5321-6402-5300</t>
  </si>
  <si>
    <t>Repairs &amp; Maintenance - 35 Ashley Crescent</t>
  </si>
  <si>
    <t>5321-6403-5300</t>
  </si>
  <si>
    <t>Repairs &amp; Maintenance - 37 Ashley Crescent</t>
  </si>
  <si>
    <t>5321-6404-5300</t>
  </si>
  <si>
    <t>Repairs &amp; Maintenance - 783 Homeview Road</t>
  </si>
  <si>
    <t>5321-6405-5300</t>
  </si>
  <si>
    <t>Repairs &amp; Maintenance - 785 Homeview Road</t>
  </si>
  <si>
    <t>5321-6406-5300</t>
  </si>
  <si>
    <t>Repairs &amp; Maintenance - 160 River Run Terrace</t>
  </si>
  <si>
    <t>5321-6407-5300</t>
  </si>
  <si>
    <t>Repairs &amp; Maintenance - 108 Four Oakes Crescent (TSL)</t>
  </si>
  <si>
    <t>5321-6408-5300</t>
  </si>
  <si>
    <t>Repairs &amp; Maintenance - 23 Forest View Circle (TSL)</t>
  </si>
  <si>
    <t>5321-6409-5300</t>
  </si>
  <si>
    <t>Repairs &amp; Maintenance - 341 Highview Crescent (TSL)</t>
  </si>
  <si>
    <t>5321-6410-5300</t>
  </si>
  <si>
    <t>Repairs &amp; Maintenance - 15 Ellsworth Close</t>
  </si>
  <si>
    <t>5321-6411-5300</t>
  </si>
  <si>
    <t>Repairs &amp; Maintenance - 148 Rachel Street (TSL)</t>
  </si>
  <si>
    <t>5321-6412-5300</t>
  </si>
  <si>
    <t>Repairs &amp; Maintenance - 210 Banbury Road</t>
  </si>
  <si>
    <t>5321-6413-5300</t>
  </si>
  <si>
    <t>Repairs &amp; Maintenance - 212 Banbury Road</t>
  </si>
  <si>
    <t>5321-6414-5300</t>
  </si>
  <si>
    <t>Repairs &amp; Maintenance - 889 Shelborne Street</t>
  </si>
  <si>
    <t>5321-6415-5300</t>
  </si>
  <si>
    <t>Repairs &amp; Maintenance - 891 Shelborne Street</t>
  </si>
  <si>
    <t>5321-6416-5300</t>
  </si>
  <si>
    <t>Repairs &amp; Maintenance - 174 Golfdale Crescent (LSRTF)</t>
  </si>
  <si>
    <t>5321-6417-5300</t>
  </si>
  <si>
    <t>Repairs &amp; Maintenance - 35 Augusta Crescent</t>
  </si>
  <si>
    <t>5321-6418-5300</t>
  </si>
  <si>
    <t>Repairs &amp; Maintenance - 1496 Jalna Boulevard</t>
  </si>
  <si>
    <t>5321-6419-5300</t>
  </si>
  <si>
    <t>Repairs &amp; Maintenance - 67 Edgemere Crescent</t>
  </si>
  <si>
    <t>5321-6420-5300</t>
  </si>
  <si>
    <t>Repairs &amp; Maintenance - 457 Cleveland Avenue</t>
  </si>
  <si>
    <t>5321-6421-5300</t>
  </si>
  <si>
    <t>Repairs &amp; Maintenance - 119 Cecillia Avenue</t>
  </si>
  <si>
    <t>5321-6422-5300</t>
  </si>
  <si>
    <t>Repairs &amp; Maintenance - 121 Cecillia Avenue</t>
  </si>
  <si>
    <t>5321-6423-5300</t>
  </si>
  <si>
    <t>Repairs &amp; Maintenance - 176 Golfdale Crescent</t>
  </si>
  <si>
    <t>5321-6424-5300</t>
  </si>
  <si>
    <t>Repairs &amp; Maintenance - 111 William Street (Exeter)</t>
  </si>
  <si>
    <t>5321-6425-5300</t>
  </si>
  <si>
    <t>Repairs &amp; Maintenance - 91 Huron Street (Exeter)</t>
  </si>
  <si>
    <t>5321-6426-5300</t>
  </si>
  <si>
    <t>Repairs &amp; Maintenance - 56 Main Street (Exeter)</t>
  </si>
  <si>
    <t>5321-6427-5300</t>
  </si>
  <si>
    <t>Repairs &amp; Maintenance - 110 Victoria Street (Exeter)</t>
  </si>
  <si>
    <t>5321-6428-5300</t>
  </si>
  <si>
    <t>Repairs &amp; Maintenance - 580 Victoria Street (Strathroy)</t>
  </si>
  <si>
    <t>5321-6501-4000</t>
  </si>
  <si>
    <t>Repairs &amp; Maintenance - 456 Boler Road (LSRTF)</t>
  </si>
  <si>
    <t>5322-6100-4000</t>
  </si>
  <si>
    <t>Grounds Maintenance - Facilities</t>
  </si>
  <si>
    <t>5322-6101-4000</t>
  </si>
  <si>
    <t xml:space="preserve">4 35 00_x000D_
</t>
  </si>
  <si>
    <t>Grounds Maintenance - 534 Queens Avenue (London Office)</t>
  </si>
  <si>
    <t>5322-6102-4000</t>
  </si>
  <si>
    <t>Grounds Maintenance - 149B Thames Road West (Exeter Office)</t>
  </si>
  <si>
    <t>5322-6103-4000</t>
  </si>
  <si>
    <t>Grounds Maintenance - 648 Huron Street (Crisis Centre)</t>
  </si>
  <si>
    <t>5322-6104-4000</t>
  </si>
  <si>
    <t>Grounds Maintenance - 21 Richmond Street (Strathroy Office)</t>
  </si>
  <si>
    <t>5322-6105-2000</t>
  </si>
  <si>
    <t>Grounds Maintenance - 566 Dundas Street (MSP)</t>
  </si>
  <si>
    <t>5322-6106-6100</t>
  </si>
  <si>
    <t>Grounds Maintenance - 371/373 Hamilton Road (Coffee House)</t>
  </si>
  <si>
    <t>5322-6200-5200</t>
  </si>
  <si>
    <t>Grounds Maintenance - 281 Piccadilly Street (TRTF)</t>
  </si>
  <si>
    <t>5322-6301-5100</t>
  </si>
  <si>
    <t>Grounds Maintenance - 14 Craig Street (TSL)</t>
  </si>
  <si>
    <t>5322-6302-5100</t>
  </si>
  <si>
    <t>Grounds Maintenance - 36 Frank Place (CSS)</t>
  </si>
  <si>
    <t>5322-6400-5300</t>
  </si>
  <si>
    <t>Grounds Maintenance - Non-Profit Housing Program</t>
  </si>
  <si>
    <t>5322-6401-5300</t>
  </si>
  <si>
    <t>Grounds Maintenance - 103 River Run Terrace</t>
  </si>
  <si>
    <t>5322-6402-5300</t>
  </si>
  <si>
    <t>Grounds Maintenance - 35 Ashley Crescent</t>
  </si>
  <si>
    <t>5322-6403-5300</t>
  </si>
  <si>
    <t>Grounds Maintenance - 37 Ashley Crescent</t>
  </si>
  <si>
    <t>5322-6404-5300</t>
  </si>
  <si>
    <t>Grounds Maintenance - 783 Homeview Road</t>
  </si>
  <si>
    <t>5322-6405-5300</t>
  </si>
  <si>
    <t>Grounds Maintenance - 785 Homeview Road</t>
  </si>
  <si>
    <t>5322-6406-5300</t>
  </si>
  <si>
    <t>Grounds Maintenance - 160 River Run Terrace</t>
  </si>
  <si>
    <t>5322-6407-5300</t>
  </si>
  <si>
    <t>Grounds Maintenance - 108 Four Oakes Crescent (TSL)</t>
  </si>
  <si>
    <t>5322-6408-5300</t>
  </si>
  <si>
    <t>Grounds Maintenance - 23 Forest View Circle (TSL)</t>
  </si>
  <si>
    <t>5322-6409-5300</t>
  </si>
  <si>
    <t>Grounds Maintenance - 341 Highview Crescent (TSL)</t>
  </si>
  <si>
    <t>5322-6410-5300</t>
  </si>
  <si>
    <t>Grounds Maintenance - 15 Ellsworth Close</t>
  </si>
  <si>
    <t>5322-6411-5300</t>
  </si>
  <si>
    <t>Grounds Maintenance - 148 Rachel Street (TSL)</t>
  </si>
  <si>
    <t>5322-6412-5300</t>
  </si>
  <si>
    <t>Grounds Maintenance - 210 Banbury Road</t>
  </si>
  <si>
    <t>5322-6413-5300</t>
  </si>
  <si>
    <t>Grounds Maintenance - 212 Banbury Road</t>
  </si>
  <si>
    <t>5322-6414-5300</t>
  </si>
  <si>
    <t>Grounds Maintenance - 889 Shelborne Street</t>
  </si>
  <si>
    <t>5322-6415-5300</t>
  </si>
  <si>
    <t>Grounds Maintenance - 891 Shelborne Street</t>
  </si>
  <si>
    <t>5322-6416-5300</t>
  </si>
  <si>
    <t>Grounds Maintenance - 174 Golfdale Crescent (LSRTF)</t>
  </si>
  <si>
    <t>5322-6417-5300</t>
  </si>
  <si>
    <t>Grounds Maintenance - 35 Augusta Crescent</t>
  </si>
  <si>
    <t>5322-6418-5300</t>
  </si>
  <si>
    <t>Grounds Maintenance - 1496 Jalna Boulevard</t>
  </si>
  <si>
    <t>5322-6419-5300</t>
  </si>
  <si>
    <t>Grounds Maintenance - 67 Edgemere Crescent</t>
  </si>
  <si>
    <t>5322-6420-5300</t>
  </si>
  <si>
    <t>Grounds Maintenance - 457 Cleveland Avenue</t>
  </si>
  <si>
    <t>5322-6421-5300</t>
  </si>
  <si>
    <t>Grounds Maintenance - 119 Cecillia Avenue</t>
  </si>
  <si>
    <t>5322-6422-5300</t>
  </si>
  <si>
    <t>Grounds Maintenance - 121 Cecillia Avenue</t>
  </si>
  <si>
    <t>5322-6423-5300</t>
  </si>
  <si>
    <t>Grounds Maintenance - 176 Golfdale Crescent</t>
  </si>
  <si>
    <t>5322-6424-5300</t>
  </si>
  <si>
    <t>Grounds Maintenance - 111 William Street (Exeter)</t>
  </si>
  <si>
    <t>5322-6425-5300</t>
  </si>
  <si>
    <t>Grounds Maintenance - 91 Huron Street (Exeter)</t>
  </si>
  <si>
    <t>5322-6426-5300</t>
  </si>
  <si>
    <t>Grounds Maintenance - 56 Main Street (Exeter)</t>
  </si>
  <si>
    <t>5322-6427-5300</t>
  </si>
  <si>
    <t>Grounds Maintenance - 110 Victoria Street (Exeter)</t>
  </si>
  <si>
    <t>5322-6428-5300</t>
  </si>
  <si>
    <t>Grounds Maintenance - 580 Victoria Street (Strathroy)</t>
  </si>
  <si>
    <t>5322-6501-4000</t>
  </si>
  <si>
    <t>Grounds Maintenance - 456 Boler Road (LSRTF)</t>
  </si>
  <si>
    <t>5323-6400-5300</t>
  </si>
  <si>
    <t>Major Repairs &amp; Renovations - Reserve Fund - Non-Profit Hous</t>
  </si>
  <si>
    <t>5400-5000-2000</t>
  </si>
  <si>
    <t>Other Restricted Donations Expenditures - Crisis Services</t>
  </si>
  <si>
    <t>5401-1100-2000</t>
  </si>
  <si>
    <t>Highest Priority Needs Fund Expenditures - Administration</t>
  </si>
  <si>
    <t>5402-2400-2000</t>
  </si>
  <si>
    <t>Rural Mental Health Fund Expenditures</t>
  </si>
  <si>
    <t>5410-1500-2000</t>
  </si>
  <si>
    <t xml:space="preserve">73 1 10_x000D_
</t>
  </si>
  <si>
    <t>Client Fund Expenditures</t>
  </si>
  <si>
    <t>5411-2100-2000</t>
  </si>
  <si>
    <t>Taxi &amp; Bus Passes - Case Management</t>
  </si>
  <si>
    <t>5411-2400-2000</t>
  </si>
  <si>
    <t>Taxi &amp; Bus Passes - Strathroy</t>
  </si>
  <si>
    <t>5411-3110-2000</t>
  </si>
  <si>
    <t>Taxi &amp; Bus Passes - My Sister's Place</t>
  </si>
  <si>
    <t>5411-5000-2000</t>
  </si>
  <si>
    <t>Taxi &amp; Bus Passes - Crisis Services</t>
  </si>
  <si>
    <t>5411-5140-2000</t>
  </si>
  <si>
    <t>Taxi &amp; Bus Passes - Crisis Stabilization</t>
  </si>
  <si>
    <t>5413-2100-2000</t>
  </si>
  <si>
    <t>Coffee Allowances - Case Management</t>
  </si>
  <si>
    <t>5413-2200-2000</t>
  </si>
  <si>
    <t>Coffee Allowances - Clinical</t>
  </si>
  <si>
    <t>5413-2210-2000</t>
  </si>
  <si>
    <t>Coffee Allowances - Family Support</t>
  </si>
  <si>
    <t>5413-2420-2000</t>
  </si>
  <si>
    <t>Coffee Allowances - Case Management (Strathroy)</t>
  </si>
  <si>
    <t>5413-2440-2000</t>
  </si>
  <si>
    <t>Coffee Allowances - Housing (Strathroy)</t>
  </si>
  <si>
    <t>5413-3210-2000</t>
  </si>
  <si>
    <t>Coffee Allowances - Community Wellness</t>
  </si>
  <si>
    <t>5413-3230-2000</t>
  </si>
  <si>
    <t>Coffee Allowances - Justice &amp; Court</t>
  </si>
  <si>
    <t>5413-3310-2000</t>
  </si>
  <si>
    <t>Coffee Allowances - Case Management (Exeter)</t>
  </si>
  <si>
    <t>5413-3320-2000</t>
  </si>
  <si>
    <t>Coffee Allowances - Community Programs (Exeter)</t>
  </si>
  <si>
    <t>5413-4210-2000</t>
  </si>
  <si>
    <t>Coffee Allowances - Housing First</t>
  </si>
  <si>
    <t>5413-4210-7010</t>
  </si>
  <si>
    <t>Coffee Allowances - Lawson NFA</t>
  </si>
  <si>
    <t>5413-4500-2000</t>
  </si>
  <si>
    <t>Coffee Allowances - MOH CHO</t>
  </si>
  <si>
    <t>6100-1100-4000</t>
  </si>
  <si>
    <t>Flow-Through Received - Paymaster</t>
  </si>
  <si>
    <t>11009?</t>
  </si>
  <si>
    <t>6101-1100-4000</t>
  </si>
  <si>
    <t>Flow-Through Transferred - Community Living London</t>
  </si>
  <si>
    <t>Flow through from above</t>
  </si>
  <si>
    <t>6102-1100-4000</t>
  </si>
  <si>
    <t>Flow-Through Transferred - Woodstock General Hospital</t>
  </si>
  <si>
    <t>6201-4500-5600</t>
  </si>
  <si>
    <t>Flow-Through Transferred - 1084 Viscount Road Inc.</t>
  </si>
  <si>
    <t>6202-4500-5600</t>
  </si>
  <si>
    <t>Flow-Through Transferred - Dutsch Residence</t>
  </si>
  <si>
    <t>6203-4500-5600</t>
  </si>
  <si>
    <t>Flow-Through Transferred - Kotlyar Residence</t>
  </si>
  <si>
    <t>6204-4500-5600</t>
  </si>
  <si>
    <t>Flow-Through Transferred - Milliner Residence</t>
  </si>
  <si>
    <t>6205-4500-5600</t>
  </si>
  <si>
    <t>Flow-Through Transferred - Parkhill Residence</t>
  </si>
  <si>
    <t>6206-4500-5600</t>
  </si>
  <si>
    <t>Flow-Through Transferred - Strathroy Residence</t>
  </si>
  <si>
    <t>6207-4500-5600</t>
  </si>
  <si>
    <t>Flow-Through Transferred - Walker Place</t>
  </si>
  <si>
    <t>6208-4500-5600</t>
  </si>
  <si>
    <t>Flow-Through Transferred - Wallis Residential Homes</t>
  </si>
  <si>
    <t>6209-4500-5600</t>
  </si>
  <si>
    <t>Flow-Through Transferred - Xavier Place</t>
  </si>
  <si>
    <t>7000-2000-4000</t>
  </si>
  <si>
    <t>Sessionals Received</t>
  </si>
  <si>
    <t>7100-2000-4000</t>
  </si>
  <si>
    <t>72 5 07 10</t>
  </si>
  <si>
    <t>3 90 92</t>
  </si>
  <si>
    <t>Sessionals Paid - CMHA</t>
  </si>
  <si>
    <t>7110-2000-4000</t>
  </si>
  <si>
    <t xml:space="preserve">3 90 92_x000D_
</t>
  </si>
  <si>
    <t>Sessionals Paid - Community Agency</t>
  </si>
  <si>
    <t>8100-1100-1000</t>
  </si>
  <si>
    <t>Amortization Expense - Cap Asset - Admin</t>
  </si>
  <si>
    <t>Grants - Continuing</t>
  </si>
  <si>
    <t>Grants - Term</t>
  </si>
  <si>
    <t>GL</t>
  </si>
  <si>
    <t>GL Description</t>
  </si>
  <si>
    <t>Primary</t>
  </si>
  <si>
    <t>Primary Description</t>
  </si>
  <si>
    <t>A. Group</t>
  </si>
  <si>
    <t>AAAA</t>
  </si>
  <si>
    <t>Account Description</t>
  </si>
  <si>
    <t>Department</t>
  </si>
  <si>
    <t>PPPP</t>
  </si>
  <si>
    <t>Program Description</t>
  </si>
  <si>
    <t>Funder</t>
  </si>
  <si>
    <t>SSSS</t>
  </si>
  <si>
    <t>Source Description</t>
  </si>
  <si>
    <t>DR (CR)</t>
  </si>
  <si>
    <t>FY</t>
  </si>
  <si>
    <t>Notes / Links</t>
  </si>
  <si>
    <t>UD Operating Grants from Ministry / LHIN</t>
  </si>
  <si>
    <t>1.0 Grants - Continuing</t>
  </si>
  <si>
    <t>0. Global Funding</t>
  </si>
  <si>
    <t>Administration</t>
  </si>
  <si>
    <t>2021 Budget</t>
  </si>
  <si>
    <t>Summary Tab</t>
  </si>
  <si>
    <t>1920 Budget</t>
  </si>
  <si>
    <t>4. Supportive Housing</t>
  </si>
  <si>
    <t>Community Homes for Opportunity</t>
  </si>
  <si>
    <t>MOH CHO</t>
  </si>
  <si>
    <t>L:\Accounting\01 Budgeting\01 Submissions\05 MOH\2021\VALIDATED CHO 20-21.pdf</t>
  </si>
  <si>
    <t>Grants - Continuing - LHIN - Eating Disorders Residence</t>
  </si>
  <si>
    <t>4.1 Eating Disorders Residence</t>
  </si>
  <si>
    <t>Eating Disorders Residence</t>
  </si>
  <si>
    <t>L:\Accounting\06 General Filing\MOUs\16-08-11 - LHSC Eating Disorders.pdf</t>
  </si>
  <si>
    <t>Donations - My Sister's Place</t>
  </si>
  <si>
    <t>1.0 Donations</t>
  </si>
  <si>
    <t>0.1 Minimum Fundraising Goal</t>
  </si>
  <si>
    <t>My Sister's Place</t>
  </si>
  <si>
    <t>Donation Fund</t>
  </si>
  <si>
    <t>Equals Program 3110 + 6105</t>
  </si>
  <si>
    <t>8.2 CHO Homeowner Payments</t>
  </si>
  <si>
    <t>Rent Collected</t>
  </si>
  <si>
    <t>per MOH</t>
  </si>
  <si>
    <t>6. Permanent Homes &amp; Supplements</t>
  </si>
  <si>
    <t>Property Services</t>
  </si>
  <si>
    <t>MOH Supplements</t>
  </si>
  <si>
    <t>MOH Homelessness</t>
  </si>
  <si>
    <t>L:\Accounting\01 Budgeting\01 Submissions\05 MOH\2021\VALIDATED Transformational 20-21.pdf</t>
  </si>
  <si>
    <t>10.0 Sessionals</t>
  </si>
  <si>
    <t>2. Clinical &amp; Case Management</t>
  </si>
  <si>
    <t>Clinical &amp; Case Management</t>
  </si>
  <si>
    <t>Roll over + 19/20 MD Sessionals</t>
  </si>
  <si>
    <t>Non-Profit Housing Program</t>
  </si>
  <si>
    <t>MOH Bricks &amp; Mortar</t>
  </si>
  <si>
    <t>MOH Non-Profit Housing Program</t>
  </si>
  <si>
    <t>L:\Accounting\01 Budgeting\01 Submissions\05 MOH\2021\PNPH 20-21.pdf</t>
  </si>
  <si>
    <t>10.1 Flow-Through</t>
  </si>
  <si>
    <t>1. Corporate Services</t>
  </si>
  <si>
    <t>Roll over</t>
  </si>
  <si>
    <t>William</t>
  </si>
  <si>
    <t>MOH Transformations</t>
  </si>
  <si>
    <t>MOH Transformation</t>
  </si>
  <si>
    <t>3. Community Services</t>
  </si>
  <si>
    <t>Coffee House</t>
  </si>
  <si>
    <t>United Way</t>
  </si>
  <si>
    <t>Funding maintained</t>
  </si>
  <si>
    <t>10% funding cut in 19/20</t>
  </si>
  <si>
    <t>8.0 MOH Bricks &amp; Mortar Housing</t>
  </si>
  <si>
    <t>Grants - Continuing - CHIPI MSP</t>
  </si>
  <si>
    <t>CHIPI MSP</t>
  </si>
  <si>
    <t>City of London CHIPI</t>
  </si>
  <si>
    <t>L:\Accounting\01 Budgeting\01 Submissions\06 City of London\2021\CHPI Budget Template 2020-2021 - MSP.xlsx</t>
  </si>
  <si>
    <t>L:\Accounting\03 Funding\06 City of London\CHPI - Housing First\2021\CMHA - Prelim Funding Agreement - CHIPI.pdf</t>
  </si>
  <si>
    <t>5. Crisis Services</t>
  </si>
  <si>
    <t>Support Line</t>
  </si>
  <si>
    <t>Fund Development</t>
  </si>
  <si>
    <t>Equals Program 1500</t>
  </si>
  <si>
    <t>MOH MH&amp;A 1,000</t>
  </si>
  <si>
    <t>L:\Accounting\01 Budgeting\01 Submissions\05 MOH\2021\VALIDATED MHA 1000 20-21.pdf</t>
  </si>
  <si>
    <t>MOH Addictions</t>
  </si>
  <si>
    <t>L:\Accounting\01 Budgeting\01 Submissions\05 MOH\2021\VALIDATED Addictions 20-21.pdf</t>
  </si>
  <si>
    <t>Family Support</t>
  </si>
  <si>
    <t>Grants - Continuing - CHIPI Housing First</t>
  </si>
  <si>
    <t>Housing First</t>
  </si>
  <si>
    <t>CHIPI Supplements</t>
  </si>
  <si>
    <t>1.1 Grants - Term</t>
  </si>
  <si>
    <t>Crisis Assessment Team</t>
  </si>
  <si>
    <t>LCF Vitality</t>
  </si>
  <si>
    <t>London Community Foundation Vitality</t>
  </si>
  <si>
    <t>MOH MH&amp;A 1,150</t>
  </si>
  <si>
    <t>L:\Accounting\01 Budgeting\01 Submissions\05 MOH\2021\VALIDATED MHA 1150 20-21.pdf</t>
  </si>
  <si>
    <t>Lawson NFA</t>
  </si>
  <si>
    <t>Lawson No Fixed Address</t>
  </si>
  <si>
    <t>Wind up in 19/20</t>
  </si>
  <si>
    <t>2.2 Recoveries</t>
  </si>
  <si>
    <t>Operating Fund</t>
  </si>
  <si>
    <t>Eliminate</t>
  </si>
  <si>
    <t>Eating Disorders</t>
  </si>
  <si>
    <t>City of London Rent Subsidies</t>
  </si>
  <si>
    <t>4.0 Donations Spent - Youth Apartments</t>
  </si>
  <si>
    <t>Youth Apartments</t>
  </si>
  <si>
    <t>Riverview</t>
  </si>
  <si>
    <t>281 Piccadilly Street (TRTF)</t>
  </si>
  <si>
    <t>MOH Residential Treatment Facility</t>
  </si>
  <si>
    <t>COM Res. Mental Health - Support within Housing</t>
  </si>
  <si>
    <t>6.0 Operating Expenses</t>
  </si>
  <si>
    <t>456 Boler Road (LSRTF)</t>
  </si>
  <si>
    <t>2021 budget</t>
  </si>
  <si>
    <t>Grants - Term - Huron Country Peer Support</t>
  </si>
  <si>
    <t>Exeter &amp; Goderich</t>
  </si>
  <si>
    <t>Huron County</t>
  </si>
  <si>
    <t>36 Frank Place (CSS)</t>
  </si>
  <si>
    <t>MOH Group Homes</t>
  </si>
  <si>
    <t>CSS Rent</t>
  </si>
  <si>
    <t>14 Craig Street (TSL)</t>
  </si>
  <si>
    <t>Reserve Fund</t>
  </si>
  <si>
    <t>Grants - Continuing - UW Drop-In - My Sister's Place</t>
  </si>
  <si>
    <t>PLUG to balance 4010-3120-6100 net 3120-6100 &amp; 6106-6100</t>
  </si>
  <si>
    <t>CHIPI Housing First</t>
  </si>
  <si>
    <t>EHT Exemption - 14 Craig Street (TSL)</t>
  </si>
  <si>
    <t>4.0 Human Resources</t>
  </si>
  <si>
    <t>EHT Exemption</t>
  </si>
  <si>
    <t>Grants - Continuing - 36 Frank Place (CSS)</t>
  </si>
  <si>
    <t>EHT Exemption - 108 Four Oakes Crescent (TSL)</t>
  </si>
  <si>
    <t>108 Four Oakes Crescent (TSL)</t>
  </si>
  <si>
    <t>Hydro gas and water</t>
  </si>
  <si>
    <t>coffee and bus</t>
  </si>
  <si>
    <t>Internal Equity</t>
  </si>
  <si>
    <t>Savings of Duplicate positions</t>
  </si>
  <si>
    <t>Administrative Savings</t>
  </si>
  <si>
    <t>Forcasted suplus (deficit)- all organizations</t>
  </si>
  <si>
    <t>ADSTV</t>
  </si>
  <si>
    <t>Line Item</t>
  </si>
  <si>
    <t>Annual budget</t>
  </si>
  <si>
    <t>Detail</t>
  </si>
  <si>
    <t>FC 72110</t>
  </si>
  <si>
    <t>ADSTV Foundation</t>
  </si>
  <si>
    <t>Audit fees</t>
  </si>
  <si>
    <t>Auditor: Davis Martindale</t>
  </si>
  <si>
    <t>Legal fees</t>
  </si>
  <si>
    <t>Lawyer: Siskinds</t>
  </si>
  <si>
    <t>Insurance company: Marsh Canada</t>
  </si>
  <si>
    <t>Telephone/Internet</t>
  </si>
  <si>
    <t>Four (4) locations</t>
  </si>
  <si>
    <t>Equipment leases</t>
  </si>
  <si>
    <t>Postage machine, photocopiers x5, AED</t>
  </si>
  <si>
    <t>HR Downloads</t>
  </si>
  <si>
    <t>FC 72125</t>
  </si>
  <si>
    <t>IT Support</t>
  </si>
  <si>
    <t>5-yr contract signed October 1, 2019</t>
  </si>
  <si>
    <t>Total</t>
  </si>
  <si>
    <t>Elgin</t>
  </si>
  <si>
    <t>2020 Fiscal</t>
  </si>
  <si>
    <t>Graham Scott Enns</t>
  </si>
  <si>
    <t>McKenzie Lake, LeClair</t>
  </si>
  <si>
    <t>Marsh</t>
  </si>
  <si>
    <t>all classes</t>
  </si>
  <si>
    <t>TCOBI - general accounting</t>
  </si>
  <si>
    <t>TCOBI - CHO</t>
  </si>
  <si>
    <t>Phone consultants - Schooley Mitchell</t>
  </si>
  <si>
    <t>Morneau Shepell</t>
  </si>
  <si>
    <t>Reception and Finance admin - agency fees</t>
  </si>
  <si>
    <t>Data communication charges</t>
  </si>
  <si>
    <t>Rogers, ADP (payroll), Execulink</t>
  </si>
  <si>
    <t>Software licensing</t>
  </si>
  <si>
    <t>EMWare</t>
  </si>
  <si>
    <t>Equipment maintenance</t>
  </si>
  <si>
    <t>Business Tech (IT), Elgin Fire</t>
  </si>
  <si>
    <t>08-1-72110    -65020  -</t>
  </si>
  <si>
    <t>Ernst Young</t>
  </si>
  <si>
    <t>PCS Lawyers</t>
  </si>
  <si>
    <t>08-1-72110    -68000  -</t>
  </si>
  <si>
    <t>TCOBI - general accounting, special work</t>
  </si>
  <si>
    <t>08-1-72125    -71000  -</t>
  </si>
  <si>
    <t>Middlesex</t>
  </si>
  <si>
    <t>Estimated savings</t>
  </si>
  <si>
    <t>Total Revenues</t>
  </si>
  <si>
    <t>Model</t>
  </si>
  <si>
    <t>Total wages and benefits</t>
  </si>
  <si>
    <t>Non labour expenses</t>
  </si>
  <si>
    <t>Net</t>
  </si>
  <si>
    <t>2019 audit</t>
  </si>
  <si>
    <t>total rev</t>
  </si>
  <si>
    <t>Notes</t>
  </si>
  <si>
    <t>Jan 31 Actual</t>
  </si>
  <si>
    <t>Jan 31 Budget</t>
  </si>
  <si>
    <t>2110-6302-1000</t>
  </si>
  <si>
    <t>2110-6400-1000</t>
  </si>
  <si>
    <t>SB 11009? Missed Budget?</t>
  </si>
  <si>
    <t>2110-6502-1000</t>
  </si>
  <si>
    <t>2210-1000-1000</t>
  </si>
  <si>
    <t>2210-1000-2000</t>
  </si>
  <si>
    <t>2210-6103-1000</t>
  </si>
  <si>
    <t>2210-6200-3000</t>
  </si>
  <si>
    <t>2210-6300-3000</t>
  </si>
  <si>
    <t>2210-6400-3000</t>
  </si>
  <si>
    <t>2220-1000-1000</t>
  </si>
  <si>
    <t>2221-1000-1000</t>
  </si>
  <si>
    <t>3000-1000-1000</t>
  </si>
  <si>
    <t>Flow through from base</t>
  </si>
  <si>
    <t>Validate</t>
  </si>
  <si>
    <t>Plug to balance to funding</t>
  </si>
  <si>
    <t>Build expense budget at Elgin (3 FTEs?)</t>
  </si>
  <si>
    <t>Elgins contribution $60,235</t>
  </si>
  <si>
    <t>See sepate payroll costing file</t>
  </si>
  <si>
    <t>`</t>
  </si>
  <si>
    <t>One-Time Purchases - MOH CIRF Telephony</t>
  </si>
  <si>
    <t>One-Time Purchases - Justice &amp; Court</t>
  </si>
  <si>
    <t>One-Time Purchases - LSRTF - MOH Supplements</t>
  </si>
  <si>
    <t>One-Time Purchases - MOH CHO</t>
  </si>
  <si>
    <t>Base</t>
  </si>
  <si>
    <t>Admininstrative savings</t>
  </si>
  <si>
    <t>Integration</t>
  </si>
  <si>
    <t>Surplus (deficit) before adjustments</t>
  </si>
  <si>
    <t>Cumulative $300,000</t>
  </si>
  <si>
    <t>Cumulative $450,000</t>
  </si>
  <si>
    <t>Cumulative $350,000</t>
  </si>
  <si>
    <t>Admin. savings of $7,350</t>
  </si>
  <si>
    <t>Admin. savings of $5,805</t>
  </si>
  <si>
    <t>Savings of duplicate positions $10,000</t>
  </si>
  <si>
    <t>Net Surplus (Deficit) - Elgin Middlesex</t>
  </si>
  <si>
    <t>2023-2024</t>
  </si>
  <si>
    <t>2024-2025</t>
  </si>
  <si>
    <t>Cumulative</t>
  </si>
  <si>
    <t>Cumulative $500,000</t>
  </si>
  <si>
    <t>Internal equity $10,000</t>
  </si>
  <si>
    <t>Internal Equity $40,000</t>
  </si>
  <si>
    <t>Cumulative Internal equity $10,000</t>
  </si>
  <si>
    <t>Cumulative net equity $40,000</t>
  </si>
  <si>
    <t>2020 Forecast</t>
  </si>
  <si>
    <t>2021 Forecast</t>
  </si>
  <si>
    <t>2022 Forecast</t>
  </si>
  <si>
    <t xml:space="preserve">Philanthropy </t>
  </si>
  <si>
    <t>Other government grants</t>
  </si>
  <si>
    <t>Investment Income</t>
  </si>
  <si>
    <t xml:space="preserve">Rental &amp; Other </t>
  </si>
  <si>
    <t>Staff increase %</t>
  </si>
  <si>
    <t>Operation expense increase %</t>
  </si>
  <si>
    <t>Staff</t>
  </si>
  <si>
    <t>Operations</t>
  </si>
  <si>
    <t>Net on operations</t>
  </si>
  <si>
    <t xml:space="preserve"> Unified Projections </t>
  </si>
  <si>
    <t>Note:  for this project, we ran the numbers at 100% revenue projections, 80% and 70%</t>
  </si>
  <si>
    <t>2020 Base Combined</t>
  </si>
  <si>
    <t>Note:  we could do side by side and then combined to start as per option 1</t>
  </si>
  <si>
    <t xml:space="preserve">Note:  here we see the assumptions laid out </t>
  </si>
  <si>
    <t xml:space="preserve">Note:  in this example you create the budget by 'buckets' of services - I've provided examples here </t>
  </si>
  <si>
    <t>Children's Mental Health</t>
  </si>
  <si>
    <t>Government funding</t>
  </si>
  <si>
    <t>Fee for Service</t>
  </si>
  <si>
    <t>Developmental Services</t>
  </si>
  <si>
    <t>OPR</t>
  </si>
  <si>
    <t>Municipal Programs</t>
  </si>
  <si>
    <t>Transitional Age Youth</t>
  </si>
  <si>
    <t>Youth Justice</t>
  </si>
  <si>
    <t>Administrative Saving</t>
  </si>
  <si>
    <t>Saving Duplicate Positions</t>
  </si>
  <si>
    <t>Internal Equity allocation</t>
  </si>
  <si>
    <t>PROGRAM COSTS</t>
  </si>
  <si>
    <t>ADVERTISING</t>
  </si>
  <si>
    <t>EQUIPMENT</t>
  </si>
  <si>
    <t>ADMINISTRATION</t>
  </si>
  <si>
    <t>Travel/Parking</t>
  </si>
  <si>
    <t>Food &amp; Beverages</t>
  </si>
  <si>
    <t>Marketing Materials</t>
  </si>
  <si>
    <t>Advertising - Other</t>
  </si>
  <si>
    <t>Computers &amp; Electronics</t>
  </si>
  <si>
    <t>Security &amp; Safety</t>
  </si>
  <si>
    <t>Telephone &amp; Internet</t>
  </si>
  <si>
    <t>Office Supplies</t>
  </si>
  <si>
    <t>Postage &amp; Courier</t>
  </si>
  <si>
    <t>Legal</t>
  </si>
  <si>
    <t>Consulting &amp; Professional Fees</t>
  </si>
  <si>
    <t>Human Resouces Expenses</t>
  </si>
  <si>
    <t>Project Based Budgeting</t>
  </si>
  <si>
    <t>Financial Assumptions</t>
  </si>
  <si>
    <t>Fixed Expenses</t>
  </si>
  <si>
    <t>Variable Expenses</t>
  </si>
  <si>
    <t>In-Kind Contributions</t>
  </si>
  <si>
    <t>Project Name</t>
  </si>
  <si>
    <t>Year</t>
  </si>
  <si>
    <t>Event Fee</t>
  </si>
  <si>
    <t xml:space="preserve">Rentals  </t>
  </si>
  <si>
    <t>In-Kind</t>
  </si>
  <si>
    <t xml:space="preserve">Partners Contributions </t>
  </si>
  <si>
    <t>Actual</t>
  </si>
  <si>
    <t># of hours @ average wage (in-kind or actual)</t>
  </si>
  <si>
    <t xml:space="preserve">Staffing </t>
  </si>
  <si>
    <t>Paid Staff</t>
  </si>
  <si>
    <t>Volunteers</t>
  </si>
  <si>
    <t xml:space="preserve">Students </t>
  </si>
  <si>
    <t>Total Staffing Expenses</t>
  </si>
  <si>
    <t>Training Required</t>
  </si>
  <si>
    <t>Other Misc</t>
  </si>
  <si>
    <t>child minding, police record checks etc.</t>
  </si>
  <si>
    <t>Peers (People with Lived Experience)</t>
  </si>
  <si>
    <t>Travel Bus Tickets (for participants)</t>
  </si>
  <si>
    <t>SWAG</t>
  </si>
  <si>
    <t>Supplies and Materials</t>
  </si>
  <si>
    <t xml:space="preserve">Variable Expenses </t>
  </si>
  <si>
    <t># of Participants</t>
  </si>
  <si>
    <t>PROGRAM COSTS/PARTICIPANT</t>
  </si>
  <si>
    <t>Participants materials</t>
  </si>
  <si>
    <t>Total Program Costs Per Participants</t>
  </si>
  <si>
    <t>SWAG for program (beyond/participant)</t>
  </si>
  <si>
    <t xml:space="preserve">Meetings Space/Rent/Lease </t>
  </si>
  <si>
    <t xml:space="preserve">Total Fixed Expenses </t>
  </si>
  <si>
    <t xml:space="preserve">Total Expenses </t>
  </si>
  <si>
    <t>NET</t>
  </si>
  <si>
    <t>PP</t>
  </si>
  <si>
    <t>PP=Per Participants</t>
  </si>
  <si>
    <t xml:space="preserve">Revenue </t>
  </si>
  <si>
    <t>Grants/Government Funding</t>
  </si>
  <si>
    <t xml:space="preserve">Trainers, Entertainers, Speakers </t>
  </si>
  <si>
    <t>Equipment</t>
  </si>
  <si>
    <t>these are examples under each category</t>
  </si>
  <si>
    <t>Cost Per Participant</t>
  </si>
  <si>
    <t xml:space="preserve">ROI </t>
  </si>
  <si>
    <t>Overall Financial Expectatons</t>
  </si>
  <si>
    <t>What are the revenue streams that contribute to this project?</t>
  </si>
  <si>
    <t>Furniture</t>
  </si>
  <si>
    <t>Repairs</t>
  </si>
  <si>
    <t>IT/IS</t>
  </si>
  <si>
    <t>Consider what financial assumptions you are making, or are expected of you before you even start creating a budget.</t>
  </si>
  <si>
    <t>Name of Project:</t>
  </si>
  <si>
    <t>Date:</t>
  </si>
  <si>
    <t>Is there an expected ROI? is it intened to break even? Is it expected to bring in revenue? Where are you capturing the non-financial impacts of the project?</t>
  </si>
  <si>
    <t>What are expenses you will have no matter how many people participate?  What are you expected to account for?</t>
  </si>
  <si>
    <t>What are expenses that will change based on # that attend?  What are you expected to account for?  Are there creative ways to bring costs down?</t>
  </si>
  <si>
    <t>Are there some expenses that you can account for in-kind? (remember to account for them in revenue and expense)</t>
  </si>
  <si>
    <t xml:space="preserve">Centre for Organizational Effectiveness: Fundamental In Practical Leadership:  Financial Accountability </t>
  </si>
  <si>
    <t>Hourly Wage</t>
  </si>
  <si>
    <t xml:space="preserve">can calculate PP </t>
  </si>
  <si>
    <r>
      <t xml:space="preserve">Helpful to know in terms of what to set cost of event;  </t>
    </r>
    <r>
      <rPr>
        <b/>
        <sz val="10"/>
        <color theme="1"/>
        <rFont val="Calibri Light"/>
        <family val="2"/>
        <scheme val="major"/>
      </rPr>
      <t>Total Expense/# of participants</t>
    </r>
  </si>
  <si>
    <r>
      <t xml:space="preserve">Use to evaluate the efficiency of the investment.   Helpful to determine which programs are more efficient (from a financial eprspective)
</t>
    </r>
    <r>
      <rPr>
        <b/>
        <sz val="10"/>
        <color theme="1"/>
        <rFont val="Calibri Light"/>
        <family val="2"/>
        <scheme val="major"/>
      </rPr>
      <t>ROI=(current investment - current expenses)/current expenses)</t>
    </r>
  </si>
  <si>
    <t>UW Grant</t>
  </si>
  <si>
    <t>Foundation</t>
  </si>
  <si>
    <t># of Hours on Project</t>
  </si>
  <si>
    <t>account for this, though it is in-kind</t>
  </si>
  <si>
    <t>will need to pay for their involvement</t>
  </si>
  <si>
    <t>done internally (but want to account for time)</t>
  </si>
  <si>
    <t xml:space="preserve">for all vol, students </t>
  </si>
  <si>
    <t>child minding, police record checks etc., provided in-kind</t>
  </si>
  <si>
    <t>PP=Per person</t>
  </si>
  <si>
    <t>Partner providing space</t>
  </si>
  <si>
    <t>general supplies for programming in addition to per participants</t>
  </si>
  <si>
    <t>Trainer</t>
  </si>
  <si>
    <t>Banner</t>
  </si>
  <si>
    <t>social media, no cost</t>
  </si>
  <si>
    <t>new computer needed to run program</t>
  </si>
  <si>
    <t>rental of special equipment for traning</t>
  </si>
  <si>
    <t>janitorial services</t>
  </si>
  <si>
    <t>non required</t>
  </si>
  <si>
    <t>in case any damage done</t>
  </si>
  <si>
    <t>copies of materials</t>
  </si>
  <si>
    <t>mailout to participants</t>
  </si>
  <si>
    <t xml:space="preserve">non required; included in rental </t>
  </si>
  <si>
    <t>special coverage required</t>
  </si>
  <si>
    <t>included in rental</t>
  </si>
  <si>
    <t xml:space="preserve">non required  </t>
  </si>
  <si>
    <t>non</t>
  </si>
  <si>
    <t>volunteers, students, staff mining</t>
  </si>
  <si>
    <t>space and parking (in-kind); financial dollars for pogram $1,000</t>
  </si>
  <si>
    <t>Ratios:</t>
  </si>
  <si>
    <t>Ratio</t>
  </si>
  <si>
    <r>
      <t xml:space="preserve">Use to evaluate the efficiency of the investment.   Helpful to determine which programs are more efficient (from a financial peprspective)
</t>
    </r>
    <r>
      <rPr>
        <b/>
        <sz val="10"/>
        <color theme="1"/>
        <rFont val="Calibri Light"/>
        <family val="2"/>
        <scheme val="major"/>
      </rPr>
      <t>ROI=(current investment - current expenses)/current expenses)</t>
    </r>
    <r>
      <rPr>
        <sz val="10"/>
        <color theme="1"/>
        <rFont val="Calibri Light"/>
        <family val="2"/>
        <scheme val="major"/>
      </rPr>
      <t>*100 (for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</si>
</sst>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$&quot;#,##0;[Red]\-&quot;$&quot;#,##0"/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[Red]_(* \(#,##0\);_(* &quot;-&quot;??_);_(@_)"/>
    <numFmt numFmtId="167" formatCode="#,##0_ ;[Red]\-#,##0\ "/>
    <numFmt numFmtId="168" formatCode="0.0%"/>
    <numFmt numFmtId="169" formatCode="_-* #,##0_-;\-* #,##0_-;_-* &quot;-&quot;??_-;_-@_-"/>
    <numFmt numFmtId="170" formatCode="_(* #,##0_);_(* \(#,##0\);_(* &quot;-&quot;??_);_(@_)"/>
    <numFmt numFmtId="171" formatCode="[$-1009]d/mmm/yy;@"/>
    <numFmt numFmtId="172" formatCode="_-* #,##0.00000000_-;\-* #,##0.00000000_-;_-* &quot;-&quot;????????_-;_-@_-"/>
    <numFmt numFmtId="173" formatCode="_-* #,##0.0000000_-;\-* #,##0.0000000_-;_-* &quot;-&quot;???????_-;_-@_-"/>
    <numFmt numFmtId="174" formatCode="_-* #,##0.000000_-;\-* #,##0.000000_-;_-* &quot;-&quot;??????_-;_-@_-"/>
    <numFmt numFmtId="175" formatCode="#,##0;[Red]#,##0"/>
    <numFmt numFmtId="176" formatCode="&quot;$&quot;#,##0;[Red]&quot;$&quot;#,##0"/>
    <numFmt numFmtId="177" formatCode="[&gt;=0]#,##0.00;\(#,##0.00\)"/>
    <numFmt numFmtId="178" formatCode="_-&quot;$&quot;* #,##0_-;\-&quot;$&quot;* #,##0_-;_-&quot;$&quot;* &quot;-&quot;??_-;_-@_-"/>
    <numFmt numFmtId="179" formatCode="_(&quot;$&quot;* #,##0_);_(&quot;$&quot;* \(#,##0\);_(&quot;$&quot;* &quot;-&quot;??_);_(@_)"/>
    <numFmt numFmtId="180" formatCode="_-* #,##0.0000_-;\-* #,##0.0000_-;_-* &quot;-&quot;????_-;_-@_-"/>
    <numFmt numFmtId="181" formatCode="&quot;$&quot;#,##0"/>
    <numFmt numFmtId="182" formatCode="&quot;$&quot;#,##0.0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b/>
      <sz val="13.5"/>
      <name val="MS Sans Serif"/>
      <family val="2"/>
    </font>
    <font>
      <b/>
      <i/>
      <sz val="18"/>
      <name val="MS Sans Serif"/>
    </font>
    <font>
      <b/>
      <sz val="10"/>
      <name val="MS Sans Serif"/>
    </font>
    <font>
      <sz val="10"/>
      <color indexed="8"/>
      <name val="MS Sans Serif"/>
    </font>
    <font>
      <sz val="8.5"/>
      <color indexed="8"/>
      <name val="MS Sans Serif"/>
    </font>
    <font>
      <sz val="8"/>
      <color indexed="8"/>
      <name val="Tahoma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FFFF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0"/>
      <name val="Calibri Light"/>
      <family val="2"/>
      <scheme val="major"/>
    </font>
    <font>
      <sz val="14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i/>
      <sz val="11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</fonts>
  <fills count="2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21" fillId="0" borderId="0"/>
    <xf numFmtId="0" fontId="1" fillId="0" borderId="0"/>
    <xf numFmtId="0" fontId="23" fillId="0" borderId="0" pivotButton="1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</cellStyleXfs>
  <cellXfs count="437">
    <xf numFmtId="0" fontId="0" fillId="0" borderId="0" xfId="0"/>
    <xf numFmtId="0" fontId="3" fillId="0" borderId="0" xfId="0" applyFont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right" wrapText="1"/>
    </xf>
    <xf numFmtId="0" fontId="7" fillId="0" borderId="0" xfId="0" applyFont="1"/>
    <xf numFmtId="3" fontId="6" fillId="0" borderId="0" xfId="0" applyNumberFormat="1" applyFont="1" applyAlignment="1">
      <alignment horizontal="left"/>
    </xf>
    <xf numFmtId="166" fontId="7" fillId="0" borderId="0" xfId="0" applyNumberFormat="1" applyFont="1" applyAlignment="1">
      <alignment wrapText="1"/>
    </xf>
    <xf numFmtId="166" fontId="7" fillId="0" borderId="0" xfId="0" applyNumberFormat="1" applyFont="1"/>
    <xf numFmtId="3" fontId="7" fillId="0" borderId="0" xfId="0" applyNumberFormat="1" applyFont="1" applyAlignment="1">
      <alignment horizontal="left" indent="1"/>
    </xf>
    <xf numFmtId="0" fontId="6" fillId="0" borderId="0" xfId="0" applyFont="1"/>
    <xf numFmtId="3" fontId="6" fillId="0" borderId="2" xfId="0" applyNumberFormat="1" applyFont="1" applyBorder="1" applyAlignment="1">
      <alignment horizontal="left"/>
    </xf>
    <xf numFmtId="166" fontId="6" fillId="0" borderId="2" xfId="0" applyNumberFormat="1" applyFont="1" applyBorder="1" applyAlignment="1">
      <alignment wrapText="1"/>
    </xf>
    <xf numFmtId="0" fontId="7" fillId="0" borderId="2" xfId="0" applyFont="1" applyBorder="1"/>
    <xf numFmtId="166" fontId="6" fillId="0" borderId="0" xfId="0" applyNumberFormat="1" applyFont="1" applyAlignment="1">
      <alignment wrapText="1"/>
    </xf>
    <xf numFmtId="166" fontId="6" fillId="0" borderId="0" xfId="2" applyNumberFormat="1" applyFont="1" applyBorder="1" applyAlignment="1">
      <alignment wrapText="1"/>
    </xf>
    <xf numFmtId="166" fontId="7" fillId="0" borderId="0" xfId="2" applyNumberFormat="1" applyFont="1" applyBorder="1" applyAlignment="1">
      <alignment wrapText="1"/>
    </xf>
    <xf numFmtId="166" fontId="6" fillId="0" borderId="2" xfId="2" applyNumberFormat="1" applyFont="1" applyBorder="1" applyAlignment="1">
      <alignment wrapText="1"/>
    </xf>
    <xf numFmtId="3" fontId="6" fillId="0" borderId="3" xfId="0" applyNumberFormat="1" applyFont="1" applyBorder="1" applyAlignment="1">
      <alignment horizontal="left"/>
    </xf>
    <xf numFmtId="166" fontId="6" fillId="0" borderId="3" xfId="2" applyNumberFormat="1" applyFont="1" applyBorder="1" applyAlignment="1">
      <alignment wrapText="1"/>
    </xf>
    <xf numFmtId="0" fontId="7" fillId="0" borderId="3" xfId="0" applyFont="1" applyBorder="1"/>
    <xf numFmtId="3" fontId="6" fillId="0" borderId="0" xfId="0" applyNumberFormat="1" applyFont="1"/>
    <xf numFmtId="166" fontId="6" fillId="0" borderId="0" xfId="0" applyNumberFormat="1" applyFont="1"/>
    <xf numFmtId="3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center"/>
    </xf>
    <xf numFmtId="3" fontId="6" fillId="0" borderId="3" xfId="0" applyNumberFormat="1" applyFont="1" applyBorder="1" applyAlignment="1">
      <alignment horizontal="left" wrapText="1"/>
    </xf>
    <xf numFmtId="166" fontId="6" fillId="0" borderId="3" xfId="0" applyNumberFormat="1" applyFont="1" applyBorder="1"/>
    <xf numFmtId="0" fontId="6" fillId="0" borderId="2" xfId="0" applyFont="1" applyBorder="1" applyAlignment="1">
      <alignment wrapText="1"/>
    </xf>
    <xf numFmtId="0" fontId="8" fillId="0" borderId="0" xfId="0" applyFont="1"/>
    <xf numFmtId="166" fontId="7" fillId="4" borderId="0" xfId="0" applyNumberFormat="1" applyFont="1" applyFill="1"/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3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49" fontId="7" fillId="0" borderId="0" xfId="0" applyNumberFormat="1" applyFont="1"/>
    <xf numFmtId="166" fontId="9" fillId="5" borderId="0" xfId="0" applyNumberFormat="1" applyFont="1" applyFill="1" applyAlignment="1">
      <alignment horizontal="center" vertical="center" wrapText="1"/>
    </xf>
    <xf numFmtId="167" fontId="7" fillId="0" borderId="4" xfId="0" applyNumberFormat="1" applyFont="1" applyBorder="1" applyAlignment="1">
      <alignment horizontal="center" wrapText="1"/>
    </xf>
    <xf numFmtId="167" fontId="7" fillId="0" borderId="5" xfId="0" applyNumberFormat="1" applyFont="1" applyBorder="1" applyAlignment="1">
      <alignment horizontal="center" wrapText="1"/>
    </xf>
    <xf numFmtId="167" fontId="7" fillId="0" borderId="0" xfId="0" applyNumberFormat="1" applyFont="1" applyAlignment="1">
      <alignment horizontal="center" wrapText="1"/>
    </xf>
    <xf numFmtId="167" fontId="7" fillId="0" borderId="4" xfId="0" applyNumberFormat="1" applyFont="1" applyBorder="1" applyAlignment="1">
      <alignment horizontal="center" vertical="center" wrapText="1"/>
    </xf>
    <xf numFmtId="167" fontId="7" fillId="7" borderId="4" xfId="0" applyNumberFormat="1" applyFont="1" applyFill="1" applyBorder="1" applyAlignment="1">
      <alignment horizontal="center" vertical="center" wrapText="1"/>
    </xf>
    <xf numFmtId="167" fontId="7" fillId="0" borderId="0" xfId="0" applyNumberFormat="1" applyFont="1"/>
    <xf numFmtId="49" fontId="7" fillId="0" borderId="4" xfId="0" applyNumberFormat="1" applyFont="1" applyBorder="1"/>
    <xf numFmtId="167" fontId="7" fillId="0" borderId="4" xfId="0" applyNumberFormat="1" applyFont="1" applyBorder="1"/>
    <xf numFmtId="0" fontId="7" fillId="0" borderId="4" xfId="0" applyFont="1" applyBorder="1"/>
    <xf numFmtId="3" fontId="7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168" fontId="7" fillId="0" borderId="0" xfId="0" applyNumberFormat="1" applyFont="1"/>
    <xf numFmtId="9" fontId="7" fillId="0" borderId="0" xfId="0" applyNumberFormat="1" applyFont="1"/>
    <xf numFmtId="169" fontId="7" fillId="0" borderId="0" xfId="0" applyNumberFormat="1" applyFont="1"/>
    <xf numFmtId="166" fontId="7" fillId="0" borderId="0" xfId="0" applyNumberFormat="1" applyFont="1" applyAlignment="1">
      <alignment horizontal="left" indent="1"/>
    </xf>
    <xf numFmtId="166" fontId="6" fillId="0" borderId="3" xfId="0" applyNumberFormat="1" applyFont="1" applyBorder="1" applyAlignment="1">
      <alignment horizontal="left"/>
    </xf>
    <xf numFmtId="166" fontId="6" fillId="0" borderId="0" xfId="0" applyNumberFormat="1" applyFont="1" applyAlignment="1">
      <alignment horizontal="left"/>
    </xf>
    <xf numFmtId="166" fontId="6" fillId="0" borderId="2" xfId="0" applyNumberFormat="1" applyFont="1" applyBorder="1" applyAlignment="1">
      <alignment horizontal="left"/>
    </xf>
    <xf numFmtId="166" fontId="6" fillId="0" borderId="0" xfId="0" applyNumberFormat="1" applyFont="1" applyAlignment="1">
      <alignment horizontal="center"/>
    </xf>
    <xf numFmtId="10" fontId="7" fillId="0" borderId="0" xfId="1" applyNumberFormat="1" applyFont="1"/>
    <xf numFmtId="0" fontId="7" fillId="0" borderId="0" xfId="0" applyFont="1" applyAlignment="1">
      <alignment horizontal="right"/>
    </xf>
    <xf numFmtId="3" fontId="7" fillId="0" borderId="0" xfId="0" applyNumberFormat="1" applyFont="1"/>
    <xf numFmtId="166" fontId="6" fillId="0" borderId="3" xfId="0" applyNumberFormat="1" applyFont="1" applyBorder="1" applyAlignment="1">
      <alignment horizontal="left" wrapText="1"/>
    </xf>
    <xf numFmtId="166" fontId="6" fillId="0" borderId="0" xfId="0" applyNumberFormat="1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6" fontId="7" fillId="0" borderId="4" xfId="0" applyNumberFormat="1" applyFont="1" applyBorder="1"/>
    <xf numFmtId="167" fontId="7" fillId="8" borderId="4" xfId="2" applyNumberFormat="1" applyFont="1" applyFill="1" applyBorder="1"/>
    <xf numFmtId="167" fontId="7" fillId="8" borderId="4" xfId="0" applyNumberFormat="1" applyFont="1" applyFill="1" applyBorder="1"/>
    <xf numFmtId="167" fontId="7" fillId="0" borderId="4" xfId="2" applyNumberFormat="1" applyFont="1" applyBorder="1"/>
    <xf numFmtId="169" fontId="7" fillId="0" borderId="4" xfId="2" applyNumberFormat="1" applyFont="1" applyBorder="1"/>
    <xf numFmtId="0" fontId="6" fillId="0" borderId="4" xfId="0" applyFont="1" applyBorder="1" applyAlignment="1">
      <alignment horizontal="right"/>
    </xf>
    <xf numFmtId="166" fontId="6" fillId="0" borderId="4" xfId="0" applyNumberFormat="1" applyFont="1" applyBorder="1"/>
    <xf numFmtId="169" fontId="7" fillId="8" borderId="4" xfId="2" applyNumberFormat="1" applyFont="1" applyFill="1" applyBorder="1"/>
    <xf numFmtId="169" fontId="6" fillId="0" borderId="4" xfId="0" applyNumberFormat="1" applyFont="1" applyBorder="1"/>
    <xf numFmtId="0" fontId="6" fillId="0" borderId="3" xfId="0" applyFont="1" applyBorder="1"/>
    <xf numFmtId="0" fontId="7" fillId="6" borderId="0" xfId="0" applyFont="1" applyFill="1"/>
    <xf numFmtId="166" fontId="6" fillId="6" borderId="0" xfId="0" applyNumberFormat="1" applyFont="1" applyFill="1"/>
    <xf numFmtId="0" fontId="10" fillId="0" borderId="0" xfId="0" applyFont="1"/>
    <xf numFmtId="167" fontId="6" fillId="0" borderId="4" xfId="0" applyNumberFormat="1" applyFont="1" applyBorder="1"/>
    <xf numFmtId="10" fontId="7" fillId="0" borderId="0" xfId="1" applyNumberFormat="1" applyFont="1" applyBorder="1"/>
    <xf numFmtId="3" fontId="7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3" fontId="7" fillId="0" borderId="0" xfId="0" applyNumberFormat="1" applyFont="1" applyAlignment="1">
      <alignment horizontal="left" wrapText="1"/>
    </xf>
    <xf numFmtId="169" fontId="7" fillId="0" borderId="0" xfId="2" applyNumberFormat="1" applyFont="1" applyBorder="1"/>
    <xf numFmtId="166" fontId="7" fillId="0" borderId="2" xfId="2" applyNumberFormat="1" applyFont="1" applyBorder="1" applyAlignment="1">
      <alignment wrapText="1"/>
    </xf>
    <xf numFmtId="166" fontId="7" fillId="4" borderId="0" xfId="0" applyNumberFormat="1" applyFont="1" applyFill="1" applyAlignment="1">
      <alignment wrapText="1"/>
    </xf>
    <xf numFmtId="166" fontId="7" fillId="0" borderId="6" xfId="0" applyNumberFormat="1" applyFont="1" applyBorder="1" applyAlignment="1">
      <alignment wrapText="1"/>
    </xf>
    <xf numFmtId="166" fontId="7" fillId="0" borderId="3" xfId="2" applyNumberFormat="1" applyFont="1" applyBorder="1" applyAlignment="1">
      <alignment wrapText="1"/>
    </xf>
    <xf numFmtId="170" fontId="7" fillId="0" borderId="0" xfId="0" applyNumberFormat="1" applyFont="1"/>
    <xf numFmtId="166" fontId="7" fillId="0" borderId="3" xfId="0" applyNumberFormat="1" applyFont="1" applyBorder="1"/>
    <xf numFmtId="166" fontId="7" fillId="0" borderId="2" xfId="0" applyNumberFormat="1" applyFont="1" applyBorder="1"/>
    <xf numFmtId="0" fontId="13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171" fontId="0" fillId="0" borderId="4" xfId="0" applyNumberForma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left"/>
    </xf>
    <xf numFmtId="166" fontId="7" fillId="0" borderId="0" xfId="0" applyNumberFormat="1" applyFont="1" applyBorder="1" applyAlignment="1">
      <alignment horizontal="left"/>
    </xf>
    <xf numFmtId="43" fontId="7" fillId="0" borderId="0" xfId="0" applyNumberFormat="1" applyFont="1"/>
    <xf numFmtId="168" fontId="7" fillId="0" borderId="3" xfId="0" applyNumberFormat="1" applyFont="1" applyBorder="1"/>
    <xf numFmtId="166" fontId="0" fillId="0" borderId="0" xfId="0" applyNumberFormat="1"/>
    <xf numFmtId="164" fontId="4" fillId="0" borderId="7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left"/>
    </xf>
    <xf numFmtId="3" fontId="7" fillId="0" borderId="0" xfId="0" applyNumberFormat="1" applyFont="1" applyBorder="1" applyAlignment="1">
      <alignment horizontal="left" indent="1"/>
    </xf>
    <xf numFmtId="0" fontId="7" fillId="0" borderId="0" xfId="0" applyFont="1" applyBorder="1"/>
    <xf numFmtId="3" fontId="7" fillId="0" borderId="0" xfId="0" applyNumberFormat="1" applyFont="1" applyBorder="1"/>
    <xf numFmtId="3" fontId="6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3" fontId="6" fillId="0" borderId="0" xfId="0" applyNumberFormat="1" applyFont="1" applyBorder="1" applyAlignment="1">
      <alignment wrapText="1"/>
    </xf>
    <xf numFmtId="166" fontId="6" fillId="0" borderId="6" xfId="0" applyNumberFormat="1" applyFont="1" applyBorder="1" applyAlignment="1">
      <alignment wrapText="1"/>
    </xf>
    <xf numFmtId="0" fontId="6" fillId="0" borderId="2" xfId="0" applyFont="1" applyBorder="1"/>
    <xf numFmtId="164" fontId="4" fillId="0" borderId="1" xfId="0" applyNumberFormat="1" applyFont="1" applyFill="1" applyBorder="1" applyAlignment="1">
      <alignment horizontal="center" wrapText="1"/>
    </xf>
    <xf numFmtId="0" fontId="7" fillId="0" borderId="0" xfId="0" applyFont="1" applyFill="1"/>
    <xf numFmtId="166" fontId="7" fillId="0" borderId="0" xfId="0" applyNumberFormat="1" applyFont="1" applyFill="1"/>
    <xf numFmtId="166" fontId="6" fillId="0" borderId="2" xfId="0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wrapText="1"/>
    </xf>
    <xf numFmtId="166" fontId="6" fillId="0" borderId="6" xfId="0" applyNumberFormat="1" applyFont="1" applyFill="1" applyBorder="1" applyAlignment="1">
      <alignment wrapText="1"/>
    </xf>
    <xf numFmtId="166" fontId="6" fillId="0" borderId="3" xfId="2" applyNumberFormat="1" applyFont="1" applyFill="1" applyBorder="1" applyAlignment="1">
      <alignment wrapText="1"/>
    </xf>
    <xf numFmtId="166" fontId="7" fillId="0" borderId="3" xfId="2" applyNumberFormat="1" applyFont="1" applyFill="1" applyBorder="1" applyAlignment="1">
      <alignment wrapText="1"/>
    </xf>
    <xf numFmtId="0" fontId="7" fillId="0" borderId="3" xfId="0" applyFont="1" applyFill="1" applyBorder="1"/>
    <xf numFmtId="0" fontId="7" fillId="0" borderId="2" xfId="0" applyFont="1" applyFill="1" applyBorder="1"/>
    <xf numFmtId="164" fontId="4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/>
    <xf numFmtId="166" fontId="6" fillId="0" borderId="2" xfId="0" applyNumberFormat="1" applyFont="1" applyFill="1" applyBorder="1" applyAlignment="1"/>
    <xf numFmtId="166" fontId="6" fillId="0" borderId="2" xfId="2" applyNumberFormat="1" applyFont="1" applyFill="1" applyBorder="1" applyAlignment="1"/>
    <xf numFmtId="166" fontId="6" fillId="0" borderId="6" xfId="0" applyNumberFormat="1" applyFont="1" applyFill="1" applyBorder="1" applyAlignment="1"/>
    <xf numFmtId="166" fontId="6" fillId="0" borderId="3" xfId="2" applyNumberFormat="1" applyFont="1" applyFill="1" applyBorder="1" applyAlignment="1"/>
    <xf numFmtId="166" fontId="7" fillId="0" borderId="3" xfId="2" applyNumberFormat="1" applyFont="1" applyFill="1" applyBorder="1" applyAlignment="1"/>
    <xf numFmtId="0" fontId="7" fillId="0" borderId="3" xfId="0" applyFont="1" applyFill="1" applyBorder="1" applyAlignment="1"/>
    <xf numFmtId="0" fontId="7" fillId="0" borderId="2" xfId="0" applyFont="1" applyFill="1" applyBorder="1" applyAlignment="1"/>
    <xf numFmtId="0" fontId="6" fillId="0" borderId="2" xfId="0" applyFont="1" applyFill="1" applyBorder="1"/>
    <xf numFmtId="169" fontId="7" fillId="0" borderId="0" xfId="2" applyNumberFormat="1" applyFont="1" applyFill="1" applyBorder="1"/>
    <xf numFmtId="170" fontId="7" fillId="0" borderId="0" xfId="0" applyNumberFormat="1" applyFont="1" applyFill="1"/>
    <xf numFmtId="169" fontId="7" fillId="0" borderId="0" xfId="0" applyNumberFormat="1" applyFont="1" applyFill="1"/>
    <xf numFmtId="0" fontId="6" fillId="0" borderId="3" xfId="0" applyFont="1" applyFill="1" applyBorder="1"/>
    <xf numFmtId="166" fontId="7" fillId="0" borderId="0" xfId="2" applyNumberFormat="1" applyFont="1" applyFill="1" applyBorder="1" applyAlignment="1">
      <alignment wrapText="1"/>
    </xf>
    <xf numFmtId="166" fontId="6" fillId="0" borderId="0" xfId="0" applyNumberFormat="1" applyFont="1" applyFill="1"/>
    <xf numFmtId="172" fontId="7" fillId="0" borderId="0" xfId="0" applyNumberFormat="1" applyFont="1"/>
    <xf numFmtId="173" fontId="7" fillId="0" borderId="0" xfId="0" applyNumberFormat="1" applyFont="1"/>
    <xf numFmtId="172" fontId="7" fillId="0" borderId="0" xfId="0" applyNumberFormat="1" applyFont="1" applyAlignment="1">
      <alignment horizontal="center"/>
    </xf>
    <xf numFmtId="166" fontId="6" fillId="0" borderId="0" xfId="2" applyNumberFormat="1" applyFont="1" applyFill="1" applyBorder="1" applyAlignment="1">
      <alignment wrapText="1"/>
    </xf>
    <xf numFmtId="166" fontId="6" fillId="0" borderId="0" xfId="0" applyNumberFormat="1" applyFont="1" applyFill="1" applyAlignment="1">
      <alignment wrapText="1"/>
    </xf>
    <xf numFmtId="0" fontId="6" fillId="0" borderId="0" xfId="0" applyFont="1" applyFill="1"/>
    <xf numFmtId="166" fontId="6" fillId="0" borderId="3" xfId="0" applyNumberFormat="1" applyFont="1" applyFill="1" applyBorder="1"/>
    <xf numFmtId="165" fontId="7" fillId="0" borderId="0" xfId="0" applyNumberFormat="1" applyFont="1"/>
    <xf numFmtId="3" fontId="7" fillId="9" borderId="0" xfId="0" applyNumberFormat="1" applyFont="1" applyFill="1" applyAlignment="1">
      <alignment horizontal="left" indent="1"/>
    </xf>
    <xf numFmtId="166" fontId="6" fillId="0" borderId="0" xfId="0" applyNumberFormat="1" applyFont="1" applyBorder="1" applyAlignment="1">
      <alignment wrapText="1"/>
    </xf>
    <xf numFmtId="166" fontId="6" fillId="0" borderId="0" xfId="0" applyNumberFormat="1" applyFont="1" applyBorder="1"/>
    <xf numFmtId="41" fontId="7" fillId="0" borderId="0" xfId="0" applyNumberFormat="1" applyFont="1"/>
    <xf numFmtId="166" fontId="7" fillId="0" borderId="6" xfId="0" applyNumberFormat="1" applyFont="1" applyBorder="1" applyAlignment="1">
      <alignment horizontal="left"/>
    </xf>
    <xf numFmtId="168" fontId="7" fillId="0" borderId="6" xfId="0" applyNumberFormat="1" applyFont="1" applyBorder="1"/>
    <xf numFmtId="0" fontId="7" fillId="0" borderId="6" xfId="0" applyFont="1" applyBorder="1"/>
    <xf numFmtId="168" fontId="7" fillId="0" borderId="2" xfId="0" applyNumberFormat="1" applyFont="1" applyBorder="1"/>
    <xf numFmtId="9" fontId="7" fillId="0" borderId="2" xfId="0" applyNumberFormat="1" applyFont="1" applyBorder="1"/>
    <xf numFmtId="9" fontId="7" fillId="0" borderId="3" xfId="0" applyNumberFormat="1" applyFont="1" applyBorder="1"/>
    <xf numFmtId="174" fontId="7" fillId="0" borderId="0" xfId="0" applyNumberFormat="1" applyFont="1" applyAlignment="1">
      <alignment horizontal="center"/>
    </xf>
    <xf numFmtId="166" fontId="7" fillId="0" borderId="0" xfId="0" applyNumberFormat="1" applyFont="1" applyBorder="1" applyAlignment="1">
      <alignment wrapText="1"/>
    </xf>
    <xf numFmtId="166" fontId="6" fillId="0" borderId="3" xfId="0" applyNumberFormat="1" applyFont="1" applyBorder="1" applyAlignment="1">
      <alignment wrapText="1"/>
    </xf>
    <xf numFmtId="166" fontId="6" fillId="0" borderId="0" xfId="0" applyNumberFormat="1" applyFont="1" applyFill="1" applyBorder="1" applyAlignment="1">
      <alignment wrapText="1"/>
    </xf>
    <xf numFmtId="166" fontId="6" fillId="0" borderId="0" xfId="0" applyNumberFormat="1" applyFont="1" applyFill="1" applyBorder="1" applyAlignment="1"/>
    <xf numFmtId="166" fontId="7" fillId="9" borderId="0" xfId="0" applyNumberFormat="1" applyFont="1" applyFill="1" applyAlignment="1">
      <alignment wrapText="1"/>
    </xf>
    <xf numFmtId="166" fontId="7" fillId="9" borderId="0" xfId="0" applyNumberFormat="1" applyFont="1" applyFill="1" applyBorder="1" applyAlignment="1">
      <alignment wrapText="1"/>
    </xf>
    <xf numFmtId="166" fontId="6" fillId="9" borderId="0" xfId="2" applyNumberFormat="1" applyFont="1" applyFill="1" applyBorder="1" applyAlignment="1">
      <alignment wrapText="1"/>
    </xf>
    <xf numFmtId="166" fontId="7" fillId="9" borderId="0" xfId="2" applyNumberFormat="1" applyFont="1" applyFill="1" applyBorder="1" applyAlignment="1">
      <alignment wrapText="1"/>
    </xf>
    <xf numFmtId="166" fontId="6" fillId="9" borderId="0" xfId="0" applyNumberFormat="1" applyFont="1" applyFill="1" applyAlignment="1">
      <alignment wrapText="1"/>
    </xf>
    <xf numFmtId="164" fontId="5" fillId="2" borderId="0" xfId="0" applyNumberFormat="1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6" fontId="7" fillId="0" borderId="0" xfId="0" applyNumberFormat="1" applyFont="1" applyBorder="1" applyAlignment="1">
      <alignment horizontal="right" wrapText="1"/>
    </xf>
    <xf numFmtId="166" fontId="7" fillId="0" borderId="0" xfId="0" applyNumberFormat="1" applyFont="1" applyBorder="1"/>
    <xf numFmtId="169" fontId="7" fillId="0" borderId="0" xfId="0" applyNumberFormat="1" applyFont="1" applyBorder="1"/>
    <xf numFmtId="170" fontId="7" fillId="0" borderId="0" xfId="0" applyNumberFormat="1" applyFont="1" applyBorder="1"/>
    <xf numFmtId="165" fontId="7" fillId="0" borderId="0" xfId="0" applyNumberFormat="1" applyFont="1" applyBorder="1"/>
    <xf numFmtId="166" fontId="7" fillId="4" borderId="0" xfId="0" applyNumberFormat="1" applyFont="1" applyFill="1" applyBorder="1"/>
    <xf numFmtId="3" fontId="7" fillId="9" borderId="0" xfId="0" applyNumberFormat="1" applyFont="1" applyFill="1" applyAlignment="1">
      <alignment horizontal="left"/>
    </xf>
    <xf numFmtId="0" fontId="7" fillId="9" borderId="0" xfId="0" applyFont="1" applyFill="1"/>
    <xf numFmtId="0" fontId="13" fillId="0" borderId="0" xfId="0" applyFont="1"/>
    <xf numFmtId="3" fontId="7" fillId="7" borderId="0" xfId="0" applyNumberFormat="1" applyFont="1" applyFill="1" applyBorder="1" applyAlignment="1">
      <alignment horizontal="left"/>
    </xf>
    <xf numFmtId="166" fontId="7" fillId="7" borderId="0" xfId="2" applyNumberFormat="1" applyFont="1" applyFill="1" applyBorder="1" applyAlignment="1">
      <alignment wrapText="1"/>
    </xf>
    <xf numFmtId="166" fontId="6" fillId="7" borderId="2" xfId="2" applyNumberFormat="1" applyFont="1" applyFill="1" applyBorder="1" applyAlignment="1">
      <alignment wrapText="1"/>
    </xf>
    <xf numFmtId="164" fontId="4" fillId="7" borderId="1" xfId="0" applyNumberFormat="1" applyFont="1" applyFill="1" applyBorder="1" applyAlignment="1">
      <alignment horizontal="center" wrapText="1"/>
    </xf>
    <xf numFmtId="3" fontId="7" fillId="7" borderId="0" xfId="0" applyNumberFormat="1" applyFont="1" applyFill="1" applyAlignment="1">
      <alignment horizontal="left"/>
    </xf>
    <xf numFmtId="166" fontId="14" fillId="4" borderId="0" xfId="0" applyNumberFormat="1" applyFont="1" applyFill="1" applyAlignment="1">
      <alignment wrapText="1"/>
    </xf>
    <xf numFmtId="175" fontId="0" fillId="0" borderId="0" xfId="0" applyNumberFormat="1"/>
    <xf numFmtId="176" fontId="0" fillId="0" borderId="0" xfId="0" applyNumberFormat="1"/>
    <xf numFmtId="0" fontId="0" fillId="0" borderId="0" xfId="0" applyAlignment="1">
      <alignment wrapText="1"/>
    </xf>
    <xf numFmtId="0" fontId="0" fillId="0" borderId="9" xfId="0" applyBorder="1"/>
    <xf numFmtId="175" fontId="0" fillId="0" borderId="0" xfId="0" applyNumberFormat="1" applyAlignment="1">
      <alignment horizontal="center"/>
    </xf>
    <xf numFmtId="175" fontId="13" fillId="0" borderId="0" xfId="0" applyNumberFormat="1" applyFont="1"/>
    <xf numFmtId="176" fontId="13" fillId="0" borderId="8" xfId="0" applyNumberFormat="1" applyFont="1" applyBorder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wrapText="1"/>
    </xf>
    <xf numFmtId="175" fontId="15" fillId="0" borderId="0" xfId="0" applyNumberFormat="1" applyFont="1" applyAlignment="1">
      <alignment wrapText="1"/>
    </xf>
    <xf numFmtId="0" fontId="17" fillId="0" borderId="0" xfId="5" applyFont="1"/>
    <xf numFmtId="0" fontId="18" fillId="0" borderId="0" xfId="5" applyFont="1" applyAlignment="1">
      <alignment horizontal="centerContinuous"/>
    </xf>
    <xf numFmtId="0" fontId="19" fillId="0" borderId="0" xfId="5" applyFont="1" applyAlignment="1">
      <alignment horizontal="centerContinuous"/>
    </xf>
    <xf numFmtId="0" fontId="17" fillId="0" borderId="0" xfId="5" applyFont="1" applyAlignment="1">
      <alignment horizontal="centerContinuous"/>
    </xf>
    <xf numFmtId="43" fontId="16" fillId="0" borderId="0" xfId="6" applyFont="1" applyAlignment="1">
      <alignment horizontal="centerContinuous"/>
    </xf>
    <xf numFmtId="3" fontId="16" fillId="0" borderId="0" xfId="5" applyNumberFormat="1"/>
    <xf numFmtId="41" fontId="0" fillId="0" borderId="0" xfId="0" applyNumberFormat="1"/>
    <xf numFmtId="177" fontId="20" fillId="0" borderId="0" xfId="5" applyNumberFormat="1" applyFont="1" applyAlignment="1">
      <alignment horizontal="centerContinuous"/>
    </xf>
    <xf numFmtId="177" fontId="17" fillId="0" borderId="0" xfId="5" applyNumberFormat="1" applyFont="1" applyAlignment="1">
      <alignment horizontal="centerContinuous"/>
    </xf>
    <xf numFmtId="43" fontId="17" fillId="0" borderId="0" xfId="6" applyFont="1" applyBorder="1" applyAlignment="1">
      <alignment horizontal="center"/>
    </xf>
    <xf numFmtId="43" fontId="20" fillId="0" borderId="0" xfId="6" applyFont="1" applyBorder="1" applyAlignment="1">
      <alignment horizontal="center"/>
    </xf>
    <xf numFmtId="0" fontId="16" fillId="0" borderId="0" xfId="5"/>
    <xf numFmtId="43" fontId="17" fillId="0" borderId="0" xfId="6" applyFont="1" applyBorder="1" applyAlignment="1"/>
    <xf numFmtId="0" fontId="22" fillId="0" borderId="0" xfId="7" applyFont="1" applyAlignment="1">
      <alignment horizontal="center"/>
    </xf>
    <xf numFmtId="41" fontId="17" fillId="0" borderId="0" xfId="6" applyNumberFormat="1" applyFont="1" applyFill="1" applyBorder="1" applyAlignment="1"/>
    <xf numFmtId="43" fontId="17" fillId="7" borderId="0" xfId="6" applyFont="1" applyFill="1" applyBorder="1" applyAlignment="1"/>
    <xf numFmtId="3" fontId="16" fillId="7" borderId="0" xfId="5" applyNumberFormat="1" applyFill="1"/>
    <xf numFmtId="41" fontId="0" fillId="7" borderId="0" xfId="0" applyNumberFormat="1" applyFill="1"/>
    <xf numFmtId="43" fontId="17" fillId="10" borderId="0" xfId="6" applyFont="1" applyFill="1" applyBorder="1" applyAlignment="1"/>
    <xf numFmtId="3" fontId="16" fillId="10" borderId="0" xfId="5" applyNumberFormat="1" applyFill="1"/>
    <xf numFmtId="41" fontId="0" fillId="10" borderId="0" xfId="0" applyNumberFormat="1" applyFill="1"/>
    <xf numFmtId="43" fontId="17" fillId="11" borderId="0" xfId="6" applyFont="1" applyFill="1" applyBorder="1" applyAlignment="1"/>
    <xf numFmtId="3" fontId="16" fillId="11" borderId="0" xfId="5" applyNumberFormat="1" applyFill="1"/>
    <xf numFmtId="41" fontId="0" fillId="11" borderId="0" xfId="0" applyNumberFormat="1" applyFill="1"/>
    <xf numFmtId="43" fontId="17" fillId="12" borderId="0" xfId="6" applyFont="1" applyFill="1" applyBorder="1" applyAlignment="1"/>
    <xf numFmtId="3" fontId="16" fillId="12" borderId="0" xfId="5" applyNumberFormat="1" applyFill="1"/>
    <xf numFmtId="41" fontId="0" fillId="12" borderId="0" xfId="0" applyNumberFormat="1" applyFill="1"/>
    <xf numFmtId="3" fontId="0" fillId="0" borderId="0" xfId="0" applyNumberFormat="1"/>
    <xf numFmtId="0" fontId="26" fillId="0" borderId="0" xfId="13" applyFont="1"/>
    <xf numFmtId="3" fontId="26" fillId="0" borderId="0" xfId="3" applyNumberFormat="1" applyFont="1" applyFill="1" applyAlignment="1">
      <alignment vertical="top"/>
    </xf>
    <xf numFmtId="0" fontId="26" fillId="0" borderId="0" xfId="13" applyFont="1" applyAlignment="1">
      <alignment vertical="top"/>
    </xf>
    <xf numFmtId="0" fontId="27" fillId="0" borderId="0" xfId="13" applyFont="1"/>
    <xf numFmtId="0" fontId="1" fillId="0" borderId="0" xfId="0" applyFont="1"/>
    <xf numFmtId="3" fontId="27" fillId="13" borderId="0" xfId="14" applyNumberFormat="1" applyFont="1" applyFill="1" applyBorder="1" applyAlignment="1">
      <alignment vertical="top"/>
    </xf>
    <xf numFmtId="3" fontId="27" fillId="0" borderId="0" xfId="14" applyNumberFormat="1" applyFont="1" applyFill="1" applyBorder="1" applyAlignment="1">
      <alignment vertical="top"/>
    </xf>
    <xf numFmtId="3" fontId="27" fillId="7" borderId="0" xfId="14" applyNumberFormat="1" applyFont="1" applyFill="1" applyBorder="1" applyAlignment="1">
      <alignment vertical="top"/>
    </xf>
    <xf numFmtId="0" fontId="24" fillId="0" borderId="0" xfId="12" applyNumberFormat="1" applyFill="1" applyAlignment="1"/>
    <xf numFmtId="0" fontId="28" fillId="0" borderId="0" xfId="6" applyNumberFormat="1" applyFont="1" applyFill="1" applyBorder="1" applyAlignment="1"/>
    <xf numFmtId="0" fontId="24" fillId="0" borderId="0" xfId="12" applyFill="1" applyAlignment="1"/>
    <xf numFmtId="3" fontId="27" fillId="14" borderId="0" xfId="14" applyNumberFormat="1" applyFont="1" applyFill="1" applyBorder="1" applyAlignment="1">
      <alignment vertical="top"/>
    </xf>
    <xf numFmtId="178" fontId="27" fillId="0" borderId="0" xfId="4" applyNumberFormat="1" applyFont="1" applyFill="1" applyAlignment="1"/>
    <xf numFmtId="3" fontId="27" fillId="0" borderId="0" xfId="13" applyNumberFormat="1" applyFont="1"/>
    <xf numFmtId="0" fontId="27" fillId="7" borderId="0" xfId="13" applyFont="1" applyFill="1"/>
    <xf numFmtId="169" fontId="26" fillId="7" borderId="0" xfId="3" applyNumberFormat="1" applyFont="1" applyFill="1" applyAlignment="1"/>
    <xf numFmtId="169" fontId="1" fillId="0" borderId="0" xfId="0" applyNumberFormat="1" applyFont="1"/>
    <xf numFmtId="3" fontId="27" fillId="0" borderId="0" xfId="3" applyNumberFormat="1" applyFont="1" applyFill="1" applyAlignment="1"/>
    <xf numFmtId="169" fontId="27" fillId="0" borderId="0" xfId="3" applyNumberFormat="1" applyFont="1" applyFill="1" applyAlignment="1"/>
    <xf numFmtId="169" fontId="27" fillId="7" borderId="0" xfId="3" applyNumberFormat="1" applyFont="1" applyFill="1" applyAlignment="1"/>
    <xf numFmtId="3" fontId="27" fillId="6" borderId="0" xfId="14" applyNumberFormat="1" applyFont="1" applyFill="1" applyBorder="1" applyAlignment="1">
      <alignment vertical="top"/>
    </xf>
    <xf numFmtId="3" fontId="27" fillId="6" borderId="0" xfId="3" applyNumberFormat="1" applyFont="1" applyFill="1" applyAlignment="1"/>
    <xf numFmtId="3" fontId="27" fillId="7" borderId="0" xfId="3" applyNumberFormat="1" applyFont="1" applyFill="1" applyAlignment="1"/>
    <xf numFmtId="169" fontId="27" fillId="0" borderId="0" xfId="13" applyNumberFormat="1" applyFont="1"/>
    <xf numFmtId="3" fontId="1" fillId="0" borderId="0" xfId="3" applyNumberFormat="1" applyFont="1" applyFill="1" applyAlignment="1"/>
    <xf numFmtId="9" fontId="1" fillId="0" borderId="0" xfId="1" applyFont="1" applyFill="1" applyAlignment="1"/>
    <xf numFmtId="169" fontId="27" fillId="6" borderId="0" xfId="3" applyNumberFormat="1" applyFont="1" applyFill="1" applyAlignment="1"/>
    <xf numFmtId="3" fontId="1" fillId="7" borderId="0" xfId="0" applyNumberFormat="1" applyFont="1" applyFill="1"/>
    <xf numFmtId="169" fontId="26" fillId="0" borderId="0" xfId="3" applyNumberFormat="1" applyFont="1" applyFill="1" applyAlignment="1"/>
    <xf numFmtId="43" fontId="17" fillId="15" borderId="0" xfId="6" applyFont="1" applyFill="1" applyBorder="1" applyAlignment="1"/>
    <xf numFmtId="43" fontId="17" fillId="4" borderId="0" xfId="6" applyFont="1" applyFill="1" applyBorder="1" applyAlignment="1"/>
    <xf numFmtId="41" fontId="0" fillId="4" borderId="0" xfId="0" applyNumberFormat="1" applyFill="1"/>
    <xf numFmtId="3" fontId="0" fillId="15" borderId="0" xfId="0" applyNumberFormat="1" applyFill="1"/>
    <xf numFmtId="168" fontId="7" fillId="4" borderId="0" xfId="0" applyNumberFormat="1" applyFont="1" applyFill="1"/>
    <xf numFmtId="175" fontId="7" fillId="0" borderId="0" xfId="0" applyNumberFormat="1" applyFont="1"/>
    <xf numFmtId="166" fontId="6" fillId="7" borderId="2" xfId="0" applyNumberFormat="1" applyFont="1" applyFill="1" applyBorder="1" applyAlignment="1">
      <alignment horizontal="left"/>
    </xf>
    <xf numFmtId="166" fontId="7" fillId="7" borderId="0" xfId="0" applyNumberFormat="1" applyFont="1" applyFill="1" applyAlignment="1">
      <alignment horizontal="left"/>
    </xf>
    <xf numFmtId="3" fontId="7" fillId="7" borderId="0" xfId="0" applyNumberFormat="1" applyFont="1" applyFill="1"/>
    <xf numFmtId="9" fontId="0" fillId="0" borderId="9" xfId="0" applyNumberFormat="1" applyBorder="1" applyAlignment="1">
      <alignment horizontal="center"/>
    </xf>
    <xf numFmtId="0" fontId="13" fillId="3" borderId="0" xfId="0" applyFont="1" applyFill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0" xfId="15" applyNumberFormat="1" applyFont="1"/>
    <xf numFmtId="3" fontId="0" fillId="0" borderId="0" xfId="16" applyNumberFormat="1" applyFont="1"/>
    <xf numFmtId="0" fontId="30" fillId="0" borderId="0" xfId="0" applyFont="1"/>
    <xf numFmtId="3" fontId="0" fillId="0" borderId="9" xfId="16" applyNumberFormat="1" applyFont="1" applyBorder="1"/>
    <xf numFmtId="3" fontId="13" fillId="3" borderId="10" xfId="15" applyNumberFormat="1" applyFont="1" applyFill="1" applyBorder="1"/>
    <xf numFmtId="3" fontId="0" fillId="0" borderId="10" xfId="15" applyNumberFormat="1" applyFont="1" applyBorder="1"/>
    <xf numFmtId="179" fontId="0" fillId="0" borderId="0" xfId="15" applyNumberFormat="1" applyFont="1"/>
    <xf numFmtId="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13" fillId="3" borderId="0" xfId="16" applyNumberFormat="1" applyFont="1" applyFill="1"/>
    <xf numFmtId="0" fontId="31" fillId="0" borderId="0" xfId="0" applyFont="1"/>
    <xf numFmtId="3" fontId="0" fillId="0" borderId="8" xfId="0" applyNumberFormat="1" applyBorder="1"/>
    <xf numFmtId="3" fontId="13" fillId="0" borderId="2" xfId="0" applyNumberFormat="1" applyFont="1" applyBorder="1"/>
    <xf numFmtId="9" fontId="0" fillId="0" borderId="0" xfId="0" applyNumberFormat="1" applyAlignment="1">
      <alignment horizontal="center"/>
    </xf>
    <xf numFmtId="3" fontId="13" fillId="0" borderId="0" xfId="0" applyNumberFormat="1" applyFont="1"/>
    <xf numFmtId="3" fontId="16" fillId="4" borderId="0" xfId="5" applyNumberFormat="1" applyFill="1"/>
    <xf numFmtId="43" fontId="0" fillId="0" borderId="0" xfId="0" applyNumberFormat="1"/>
    <xf numFmtId="43" fontId="17" fillId="0" borderId="0" xfId="6" applyFont="1" applyFill="1" applyBorder="1" applyAlignment="1"/>
    <xf numFmtId="0" fontId="17" fillId="0" borderId="0" xfId="17" applyFont="1"/>
    <xf numFmtId="0" fontId="18" fillId="0" borderId="0" xfId="17" applyFont="1" applyAlignment="1">
      <alignment horizontal="centerContinuous"/>
    </xf>
    <xf numFmtId="0" fontId="19" fillId="0" borderId="0" xfId="17" applyFont="1" applyAlignment="1">
      <alignment horizontal="centerContinuous"/>
    </xf>
    <xf numFmtId="0" fontId="17" fillId="0" borderId="0" xfId="17" applyFont="1" applyAlignment="1">
      <alignment horizontal="centerContinuous"/>
    </xf>
    <xf numFmtId="169" fontId="32" fillId="0" borderId="0" xfId="18" applyNumberFormat="1" applyFont="1" applyAlignment="1">
      <alignment horizontal="centerContinuous"/>
    </xf>
    <xf numFmtId="169" fontId="0" fillId="0" borderId="0" xfId="0" applyNumberFormat="1"/>
    <xf numFmtId="177" fontId="20" fillId="0" borderId="0" xfId="17" applyNumberFormat="1" applyFont="1" applyAlignment="1">
      <alignment horizontal="centerContinuous"/>
    </xf>
    <xf numFmtId="169" fontId="16" fillId="0" borderId="0" xfId="18" applyNumberFormat="1" applyFont="1" applyAlignment="1">
      <alignment horizontal="centerContinuous"/>
    </xf>
    <xf numFmtId="177" fontId="17" fillId="0" borderId="0" xfId="17" applyNumberFormat="1" applyFont="1" applyAlignment="1">
      <alignment horizontal="centerContinuous"/>
    </xf>
    <xf numFmtId="43" fontId="17" fillId="0" borderId="0" xfId="18" applyFont="1" applyBorder="1" applyAlignment="1"/>
    <xf numFmtId="169" fontId="17" fillId="0" borderId="0" xfId="18" applyNumberFormat="1" applyFont="1" applyBorder="1" applyAlignment="1"/>
    <xf numFmtId="43" fontId="17" fillId="14" borderId="0" xfId="18" applyFont="1" applyFill="1" applyBorder="1" applyAlignment="1"/>
    <xf numFmtId="43" fontId="17" fillId="7" borderId="0" xfId="18" applyFont="1" applyFill="1" applyBorder="1" applyAlignment="1"/>
    <xf numFmtId="169" fontId="17" fillId="7" borderId="0" xfId="18" applyNumberFormat="1" applyFont="1" applyFill="1" applyBorder="1" applyAlignment="1"/>
    <xf numFmtId="169" fontId="17" fillId="14" borderId="0" xfId="18" applyNumberFormat="1" applyFont="1" applyFill="1" applyBorder="1" applyAlignment="1"/>
    <xf numFmtId="44" fontId="0" fillId="0" borderId="0" xfId="4" applyFont="1"/>
    <xf numFmtId="43" fontId="17" fillId="0" borderId="9" xfId="18" applyFont="1" applyBorder="1" applyAlignment="1"/>
    <xf numFmtId="169" fontId="17" fillId="0" borderId="9" xfId="18" applyNumberFormat="1" applyFont="1" applyBorder="1" applyAlignment="1"/>
    <xf numFmtId="0" fontId="32" fillId="0" borderId="0" xfId="17"/>
    <xf numFmtId="43" fontId="32" fillId="0" borderId="0" xfId="18" applyFont="1"/>
    <xf numFmtId="169" fontId="32" fillId="0" borderId="0" xfId="17" applyNumberFormat="1"/>
    <xf numFmtId="169" fontId="17" fillId="16" borderId="0" xfId="18" applyNumberFormat="1" applyFont="1" applyFill="1" applyBorder="1" applyAlignment="1"/>
    <xf numFmtId="0" fontId="34" fillId="0" borderId="0" xfId="0" applyFont="1"/>
    <xf numFmtId="0" fontId="35" fillId="0" borderId="0" xfId="0" applyFont="1"/>
    <xf numFmtId="0" fontId="34" fillId="17" borderId="0" xfId="0" applyFont="1" applyFill="1"/>
    <xf numFmtId="0" fontId="35" fillId="0" borderId="0" xfId="0" applyFont="1" applyAlignment="1">
      <alignment horizontal="center"/>
    </xf>
    <xf numFmtId="0" fontId="35" fillId="17" borderId="0" xfId="0" applyFont="1" applyFill="1"/>
    <xf numFmtId="0" fontId="35" fillId="0" borderId="9" xfId="0" applyFont="1" applyBorder="1" applyAlignment="1">
      <alignment horizontal="center"/>
    </xf>
    <xf numFmtId="176" fontId="34" fillId="0" borderId="0" xfId="0" applyNumberFormat="1" applyFont="1"/>
    <xf numFmtId="175" fontId="34" fillId="0" borderId="0" xfId="0" applyNumberFormat="1" applyFont="1"/>
    <xf numFmtId="175" fontId="34" fillId="17" borderId="0" xfId="0" applyNumberFormat="1" applyFont="1" applyFill="1" applyAlignment="1">
      <alignment wrapText="1"/>
    </xf>
    <xf numFmtId="175" fontId="34" fillId="0" borderId="0" xfId="0" applyNumberFormat="1" applyFont="1" applyAlignment="1">
      <alignment wrapText="1"/>
    </xf>
    <xf numFmtId="0" fontId="34" fillId="17" borderId="0" xfId="0" applyFont="1" applyFill="1" applyAlignment="1">
      <alignment wrapText="1"/>
    </xf>
    <xf numFmtId="0" fontId="34" fillId="17" borderId="9" xfId="0" applyFont="1" applyFill="1" applyBorder="1" applyAlignment="1">
      <alignment wrapText="1"/>
    </xf>
    <xf numFmtId="3" fontId="34" fillId="0" borderId="0" xfId="0" applyNumberFormat="1" applyFont="1"/>
    <xf numFmtId="175" fontId="35" fillId="4" borderId="0" xfId="0" applyNumberFormat="1" applyFont="1" applyFill="1"/>
    <xf numFmtId="175" fontId="35" fillId="0" borderId="0" xfId="0" applyNumberFormat="1" applyFont="1"/>
    <xf numFmtId="176" fontId="35" fillId="0" borderId="8" xfId="0" applyNumberFormat="1" applyFont="1" applyBorder="1"/>
    <xf numFmtId="175" fontId="34" fillId="0" borderId="8" xfId="0" applyNumberFormat="1" applyFont="1" applyBorder="1"/>
    <xf numFmtId="180" fontId="34" fillId="0" borderId="0" xfId="0" applyNumberFormat="1" applyFont="1"/>
    <xf numFmtId="41" fontId="34" fillId="0" borderId="0" xfId="0" applyNumberFormat="1" applyFont="1" applyAlignment="1">
      <alignment wrapText="1"/>
    </xf>
    <xf numFmtId="41" fontId="34" fillId="0" borderId="0" xfId="0" applyNumberFormat="1" applyFont="1"/>
    <xf numFmtId="2" fontId="34" fillId="17" borderId="0" xfId="0" applyNumberFormat="1" applyFont="1" applyFill="1" applyAlignment="1">
      <alignment wrapText="1"/>
    </xf>
    <xf numFmtId="2" fontId="15" fillId="17" borderId="0" xfId="0" applyNumberFormat="1" applyFont="1" applyFill="1" applyAlignment="1">
      <alignment wrapText="1"/>
    </xf>
    <xf numFmtId="0" fontId="15" fillId="17" borderId="0" xfId="0" applyFont="1" applyFill="1" applyAlignment="1">
      <alignment wrapText="1"/>
    </xf>
    <xf numFmtId="175" fontId="34" fillId="0" borderId="9" xfId="0" applyNumberFormat="1" applyFont="1" applyBorder="1"/>
    <xf numFmtId="0" fontId="35" fillId="17" borderId="9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9" xfId="0" applyFont="1" applyBorder="1" applyAlignment="1">
      <alignment horizontal="center"/>
    </xf>
    <xf numFmtId="9" fontId="0" fillId="0" borderId="0" xfId="0" applyNumberFormat="1"/>
    <xf numFmtId="164" fontId="0" fillId="0" borderId="0" xfId="0" applyNumberFormat="1"/>
    <xf numFmtId="168" fontId="0" fillId="0" borderId="0" xfId="0" applyNumberFormat="1"/>
    <xf numFmtId="10" fontId="0" fillId="0" borderId="0" xfId="0" applyNumberFormat="1"/>
    <xf numFmtId="9" fontId="38" fillId="0" borderId="0" xfId="0" applyNumberFormat="1" applyFont="1"/>
    <xf numFmtId="0" fontId="38" fillId="0" borderId="0" xfId="0" applyFont="1"/>
    <xf numFmtId="0" fontId="37" fillId="0" borderId="0" xfId="0" applyFont="1"/>
    <xf numFmtId="164" fontId="13" fillId="0" borderId="0" xfId="0" applyNumberFormat="1" applyFont="1"/>
    <xf numFmtId="0" fontId="39" fillId="0" borderId="0" xfId="0" applyFont="1"/>
    <xf numFmtId="0" fontId="41" fillId="0" borderId="0" xfId="8" applyFont="1"/>
    <xf numFmtId="181" fontId="41" fillId="0" borderId="0" xfId="2" applyNumberFormat="1" applyFont="1" applyAlignment="1">
      <alignment horizontal="right" wrapText="1"/>
    </xf>
    <xf numFmtId="181" fontId="42" fillId="0" borderId="0" xfId="2" applyNumberFormat="1" applyFont="1" applyBorder="1" applyAlignment="1">
      <alignment horizontal="right" wrapText="1"/>
    </xf>
    <xf numFmtId="3" fontId="43" fillId="18" borderId="0" xfId="8" applyNumberFormat="1" applyFont="1" applyFill="1" applyAlignment="1">
      <alignment horizontal="left"/>
    </xf>
    <xf numFmtId="0" fontId="41" fillId="0" borderId="0" xfId="8" applyFont="1" applyAlignment="1">
      <alignment horizontal="left" indent="2"/>
    </xf>
    <xf numFmtId="181" fontId="41" fillId="0" borderId="0" xfId="2" applyNumberFormat="1" applyFont="1" applyFill="1" applyAlignment="1">
      <alignment horizontal="right" wrapText="1"/>
    </xf>
    <xf numFmtId="3" fontId="42" fillId="0" borderId="0" xfId="8" applyNumberFormat="1" applyFont="1" applyAlignment="1">
      <alignment horizontal="left"/>
    </xf>
    <xf numFmtId="3" fontId="42" fillId="0" borderId="0" xfId="8" applyNumberFormat="1" applyFont="1"/>
    <xf numFmtId="181" fontId="42" fillId="0" borderId="3" xfId="8" applyNumberFormat="1" applyFont="1" applyBorder="1" applyAlignment="1">
      <alignment horizontal="right" wrapText="1"/>
    </xf>
    <xf numFmtId="181" fontId="42" fillId="0" borderId="0" xfId="8" applyNumberFormat="1" applyFont="1" applyAlignment="1">
      <alignment horizontal="right" wrapText="1"/>
    </xf>
    <xf numFmtId="3" fontId="41" fillId="0" borderId="0" xfId="8" applyNumberFormat="1" applyFont="1" applyAlignment="1">
      <alignment horizontal="left" indent="2"/>
    </xf>
    <xf numFmtId="0" fontId="46" fillId="0" borderId="0" xfId="0" applyFont="1" applyFill="1" applyAlignment="1">
      <alignment vertical="top"/>
    </xf>
    <xf numFmtId="0" fontId="47" fillId="0" borderId="0" xfId="0" applyFont="1" applyFill="1" applyAlignment="1">
      <alignment vertical="top"/>
    </xf>
    <xf numFmtId="0" fontId="47" fillId="0" borderId="0" xfId="0" applyFont="1" applyAlignment="1">
      <alignment vertical="top"/>
    </xf>
    <xf numFmtId="0" fontId="51" fillId="0" borderId="4" xfId="0" applyFont="1" applyBorder="1" applyAlignment="1">
      <alignment vertical="top" wrapText="1"/>
    </xf>
    <xf numFmtId="0" fontId="52" fillId="0" borderId="4" xfId="0" applyFont="1" applyBorder="1" applyAlignment="1">
      <alignment horizontal="center" vertical="top" wrapText="1"/>
    </xf>
    <xf numFmtId="0" fontId="53" fillId="0" borderId="4" xfId="0" applyFont="1" applyBorder="1" applyAlignment="1">
      <alignment vertical="top" wrapText="1"/>
    </xf>
    <xf numFmtId="0" fontId="47" fillId="0" borderId="4" xfId="0" applyFont="1" applyBorder="1" applyAlignment="1">
      <alignment vertical="top" wrapText="1"/>
    </xf>
    <xf numFmtId="0" fontId="47" fillId="0" borderId="0" xfId="0" applyFont="1" applyAlignment="1">
      <alignment vertical="top" wrapText="1"/>
    </xf>
    <xf numFmtId="0" fontId="52" fillId="0" borderId="0" xfId="0" applyFont="1" applyAlignment="1">
      <alignment horizontal="center" vertical="top" wrapText="1"/>
    </xf>
    <xf numFmtId="0" fontId="53" fillId="0" borderId="0" xfId="0" applyFont="1" applyAlignment="1">
      <alignment vertical="top" wrapText="1"/>
    </xf>
    <xf numFmtId="0" fontId="51" fillId="0" borderId="0" xfId="0" applyFont="1" applyAlignment="1">
      <alignment vertical="top" wrapText="1"/>
    </xf>
    <xf numFmtId="0" fontId="52" fillId="0" borderId="0" xfId="0" applyFont="1" applyAlignment="1">
      <alignment vertical="top" wrapText="1"/>
    </xf>
    <xf numFmtId="0" fontId="54" fillId="0" borderId="0" xfId="0" applyFont="1" applyAlignment="1">
      <alignment vertical="top" wrapText="1"/>
    </xf>
    <xf numFmtId="0" fontId="55" fillId="0" borderId="0" xfId="0" applyFont="1" applyAlignment="1">
      <alignment vertical="top" wrapText="1"/>
    </xf>
    <xf numFmtId="3" fontId="43" fillId="19" borderId="0" xfId="8" applyNumberFormat="1" applyFont="1" applyFill="1" applyAlignment="1">
      <alignment horizontal="left"/>
    </xf>
    <xf numFmtId="0" fontId="41" fillId="19" borderId="0" xfId="8" applyFont="1" applyFill="1"/>
    <xf numFmtId="0" fontId="44" fillId="0" borderId="0" xfId="8" applyFont="1" applyFill="1"/>
    <xf numFmtId="0" fontId="43" fillId="19" borderId="0" xfId="8" applyFont="1" applyFill="1" applyAlignment="1">
      <alignment horizontal="center" vertical="top"/>
    </xf>
    <xf numFmtId="0" fontId="43" fillId="19" borderId="0" xfId="8" applyFont="1" applyFill="1" applyAlignment="1">
      <alignment horizontal="center"/>
    </xf>
    <xf numFmtId="181" fontId="43" fillId="19" borderId="0" xfId="8" applyNumberFormat="1" applyFont="1" applyFill="1" applyAlignment="1">
      <alignment horizontal="center" wrapText="1"/>
    </xf>
    <xf numFmtId="0" fontId="43" fillId="19" borderId="0" xfId="8" applyFont="1" applyFill="1"/>
    <xf numFmtId="3" fontId="42" fillId="17" borderId="0" xfId="8" applyNumberFormat="1" applyFont="1" applyFill="1" applyAlignment="1">
      <alignment horizontal="left"/>
    </xf>
    <xf numFmtId="181" fontId="42" fillId="17" borderId="2" xfId="2" applyNumberFormat="1" applyFont="1" applyFill="1" applyBorder="1" applyAlignment="1">
      <alignment horizontal="right" wrapText="1"/>
    </xf>
    <xf numFmtId="0" fontId="41" fillId="17" borderId="0" xfId="8" applyFont="1" applyFill="1"/>
    <xf numFmtId="0" fontId="42" fillId="20" borderId="0" xfId="8" applyFont="1" applyFill="1"/>
    <xf numFmtId="181" fontId="42" fillId="20" borderId="0" xfId="8" applyNumberFormat="1" applyFont="1" applyFill="1"/>
    <xf numFmtId="0" fontId="51" fillId="3" borderId="4" xfId="0" applyFont="1" applyFill="1" applyBorder="1" applyAlignment="1">
      <alignment vertical="top" wrapText="1"/>
    </xf>
    <xf numFmtId="0" fontId="52" fillId="3" borderId="4" xfId="0" applyFont="1" applyFill="1" applyBorder="1" applyAlignment="1">
      <alignment horizontal="center" vertical="top" wrapText="1"/>
    </xf>
    <xf numFmtId="0" fontId="45" fillId="3" borderId="4" xfId="0" applyFont="1" applyFill="1" applyBorder="1" applyAlignment="1">
      <alignment vertical="top" wrapText="1"/>
    </xf>
    <xf numFmtId="0" fontId="56" fillId="21" borderId="4" xfId="0" applyFont="1" applyFill="1" applyBorder="1" applyAlignment="1">
      <alignment vertical="top" wrapText="1"/>
    </xf>
    <xf numFmtId="0" fontId="46" fillId="21" borderId="4" xfId="0" applyFont="1" applyFill="1" applyBorder="1" applyAlignment="1">
      <alignment vertical="top" wrapText="1"/>
    </xf>
    <xf numFmtId="0" fontId="58" fillId="21" borderId="4" xfId="0" applyFont="1" applyFill="1" applyBorder="1" applyAlignment="1">
      <alignment vertical="top" wrapText="1"/>
    </xf>
    <xf numFmtId="0" fontId="57" fillId="21" borderId="4" xfId="0" applyFont="1" applyFill="1" applyBorder="1" applyAlignment="1">
      <alignment vertical="top" wrapText="1"/>
    </xf>
    <xf numFmtId="0" fontId="48" fillId="21" borderId="4" xfId="0" applyFont="1" applyFill="1" applyBorder="1" applyAlignment="1">
      <alignment vertical="top" wrapText="1"/>
    </xf>
    <xf numFmtId="0" fontId="49" fillId="21" borderId="4" xfId="0" applyFont="1" applyFill="1" applyBorder="1" applyAlignment="1">
      <alignment horizontal="center" vertical="top" wrapText="1"/>
    </xf>
    <xf numFmtId="0" fontId="50" fillId="21" borderId="4" xfId="0" applyFont="1" applyFill="1" applyBorder="1" applyAlignment="1">
      <alignment vertical="top" wrapText="1"/>
    </xf>
    <xf numFmtId="0" fontId="60" fillId="0" borderId="9" xfId="0" applyFont="1" applyFill="1" applyBorder="1" applyAlignment="1">
      <alignment horizontal="center" vertical="top"/>
    </xf>
    <xf numFmtId="0" fontId="50" fillId="21" borderId="9" xfId="0" applyFont="1" applyFill="1" applyBorder="1" applyAlignment="1">
      <alignment vertical="top"/>
    </xf>
    <xf numFmtId="0" fontId="60" fillId="21" borderId="9" xfId="0" applyFont="1" applyFill="1" applyBorder="1" applyAlignment="1">
      <alignment vertical="top"/>
    </xf>
    <xf numFmtId="0" fontId="43" fillId="21" borderId="0" xfId="8" applyFont="1" applyFill="1" applyAlignment="1">
      <alignment horizontal="center" vertical="top"/>
    </xf>
    <xf numFmtId="0" fontId="40" fillId="22" borderId="0" xfId="8" applyFont="1" applyFill="1" applyAlignment="1">
      <alignment horizontal="center" vertical="top" wrapText="1"/>
    </xf>
    <xf numFmtId="0" fontId="41" fillId="21" borderId="0" xfId="8" applyFont="1" applyFill="1"/>
    <xf numFmtId="2" fontId="50" fillId="21" borderId="9" xfId="0" applyNumberFormat="1" applyFont="1" applyFill="1" applyBorder="1" applyAlignment="1">
      <alignment vertical="top"/>
    </xf>
    <xf numFmtId="2" fontId="43" fillId="21" borderId="0" xfId="8" applyNumberFormat="1" applyFont="1" applyFill="1" applyAlignment="1">
      <alignment horizontal="center" vertical="top"/>
    </xf>
    <xf numFmtId="2" fontId="43" fillId="19" borderId="0" xfId="8" applyNumberFormat="1" applyFont="1" applyFill="1" applyAlignment="1">
      <alignment horizontal="left"/>
    </xf>
    <xf numFmtId="2" fontId="42" fillId="0" borderId="0" xfId="8" applyNumberFormat="1" applyFont="1" applyAlignment="1">
      <alignment horizontal="left"/>
    </xf>
    <xf numFmtId="2" fontId="41" fillId="0" borderId="0" xfId="8" applyNumberFormat="1" applyFont="1" applyAlignment="1">
      <alignment horizontal="left" indent="2"/>
    </xf>
    <xf numFmtId="2" fontId="42" fillId="17" borderId="0" xfId="8" applyNumberFormat="1" applyFont="1" applyFill="1" applyAlignment="1">
      <alignment horizontal="left"/>
    </xf>
    <xf numFmtId="2" fontId="42" fillId="0" borderId="0" xfId="8" applyNumberFormat="1" applyFont="1"/>
    <xf numFmtId="2" fontId="41" fillId="17" borderId="0" xfId="8" applyNumberFormat="1" applyFont="1" applyFill="1" applyAlignment="1">
      <alignment horizontal="left" indent="2"/>
    </xf>
    <xf numFmtId="2" fontId="43" fillId="18" borderId="0" xfId="8" applyNumberFormat="1" applyFont="1" applyFill="1" applyAlignment="1">
      <alignment horizontal="left"/>
    </xf>
    <xf numFmtId="2" fontId="41" fillId="0" borderId="0" xfId="8" applyNumberFormat="1" applyFont="1"/>
    <xf numFmtId="2" fontId="42" fillId="20" borderId="0" xfId="8" applyNumberFormat="1" applyFont="1" applyFill="1"/>
    <xf numFmtId="0" fontId="43" fillId="0" borderId="0" xfId="8" applyFont="1" applyFill="1"/>
    <xf numFmtId="6" fontId="41" fillId="0" borderId="0" xfId="8" applyNumberFormat="1" applyFont="1"/>
    <xf numFmtId="8" fontId="41" fillId="0" borderId="0" xfId="8" applyNumberFormat="1" applyFont="1"/>
    <xf numFmtId="0" fontId="42" fillId="0" borderId="0" xfId="8" applyFont="1"/>
    <xf numFmtId="182" fontId="41" fillId="0" borderId="0" xfId="8" applyNumberFormat="1" applyFont="1"/>
    <xf numFmtId="0" fontId="41" fillId="0" borderId="0" xfId="8" applyFont="1" applyAlignment="1">
      <alignment wrapText="1"/>
    </xf>
    <xf numFmtId="0" fontId="43" fillId="19" borderId="0" xfId="8" applyFont="1" applyFill="1" applyAlignment="1">
      <alignment horizontal="center" wrapText="1"/>
    </xf>
    <xf numFmtId="0" fontId="60" fillId="21" borderId="9" xfId="0" applyFont="1" applyFill="1" applyBorder="1" applyAlignment="1">
      <alignment vertical="top" wrapText="1"/>
    </xf>
    <xf numFmtId="0" fontId="41" fillId="19" borderId="0" xfId="8" applyFont="1" applyFill="1" applyAlignment="1">
      <alignment wrapText="1"/>
    </xf>
    <xf numFmtId="0" fontId="41" fillId="17" borderId="0" xfId="8" applyFont="1" applyFill="1" applyAlignment="1">
      <alignment wrapText="1"/>
    </xf>
    <xf numFmtId="0" fontId="43" fillId="19" borderId="0" xfId="8" applyFont="1" applyFill="1" applyAlignment="1">
      <alignment wrapText="1"/>
    </xf>
    <xf numFmtId="0" fontId="42" fillId="20" borderId="0" xfId="8" applyFont="1" applyFill="1" applyAlignment="1">
      <alignment wrapText="1"/>
    </xf>
    <xf numFmtId="6" fontId="41" fillId="0" borderId="0" xfId="8" applyNumberFormat="1" applyFont="1" applyFill="1"/>
    <xf numFmtId="181" fontId="41" fillId="23" borderId="0" xfId="2" applyNumberFormat="1" applyFont="1" applyFill="1" applyAlignment="1">
      <alignment horizontal="right" wrapText="1"/>
    </xf>
    <xf numFmtId="3" fontId="41" fillId="23" borderId="0" xfId="8" applyNumberFormat="1" applyFont="1" applyFill="1"/>
    <xf numFmtId="6" fontId="41" fillId="23" borderId="0" xfId="8" applyNumberFormat="1" applyFont="1" applyFill="1"/>
    <xf numFmtId="8" fontId="41" fillId="23" borderId="0" xfId="8" applyNumberFormat="1" applyFont="1" applyFill="1"/>
    <xf numFmtId="2" fontId="41" fillId="23" borderId="0" xfId="8" applyNumberFormat="1" applyFont="1" applyFill="1" applyAlignment="1">
      <alignment horizontal="left" indent="2"/>
    </xf>
    <xf numFmtId="0" fontId="21" fillId="0" borderId="0" xfId="7" applyAlignment="1">
      <alignment horizontal="center"/>
    </xf>
    <xf numFmtId="0" fontId="59" fillId="21" borderId="11" xfId="0" applyFont="1" applyFill="1" applyBorder="1" applyAlignment="1">
      <alignment horizontal="left" vertical="top"/>
    </xf>
    <xf numFmtId="0" fontId="59" fillId="21" borderId="3" xfId="0" applyFont="1" applyFill="1" applyBorder="1" applyAlignment="1">
      <alignment horizontal="left" vertical="top"/>
    </xf>
    <xf numFmtId="0" fontId="59" fillId="21" borderId="12" xfId="0" applyFont="1" applyFill="1" applyBorder="1" applyAlignment="1">
      <alignment horizontal="left" vertical="top"/>
    </xf>
    <xf numFmtId="0" fontId="50" fillId="21" borderId="9" xfId="0" applyFont="1" applyFill="1" applyBorder="1" applyAlignment="1">
      <alignment horizontal="center" vertical="top"/>
    </xf>
    <xf numFmtId="0" fontId="60" fillId="0" borderId="9" xfId="0" applyFont="1" applyFill="1" applyBorder="1" applyAlignment="1">
      <alignment horizontal="center" vertical="top"/>
    </xf>
    <xf numFmtId="0" fontId="35" fillId="7" borderId="0" xfId="0" applyFont="1" applyFill="1" applyAlignment="1">
      <alignment horizontal="center"/>
    </xf>
    <xf numFmtId="3" fontId="29" fillId="0" borderId="0" xfId="0" applyNumberFormat="1" applyFont="1" applyAlignment="1">
      <alignment horizontal="center"/>
    </xf>
  </cellXfs>
  <cellStyles count="19">
    <cellStyle name="Comma" xfId="3" builtinId="3"/>
    <cellStyle name="Comma 2" xfId="2" xr:uid="{00000000-0005-0000-0000-000001000000}"/>
    <cellStyle name="Comma 2 2" xfId="18" xr:uid="{00000000-0005-0000-0000-000002000000}"/>
    <cellStyle name="Comma 2 5" xfId="6" xr:uid="{00000000-0005-0000-0000-000003000000}"/>
    <cellStyle name="Comma 3" xfId="10" xr:uid="{00000000-0005-0000-0000-000004000000}"/>
    <cellStyle name="Comma 4" xfId="11" xr:uid="{00000000-0005-0000-0000-000005000000}"/>
    <cellStyle name="Comma 5" xfId="16" xr:uid="{00000000-0005-0000-0000-000006000000}"/>
    <cellStyle name="Comma 7" xfId="14" xr:uid="{00000000-0005-0000-0000-000007000000}"/>
    <cellStyle name="Currency" xfId="4" builtinId="4"/>
    <cellStyle name="Currency 2" xfId="15" xr:uid="{00000000-0005-0000-0000-000009000000}"/>
    <cellStyle name="Hyperlink" xfId="12" builtinId="8"/>
    <cellStyle name="Normal" xfId="0" builtinId="0"/>
    <cellStyle name="Normal 2" xfId="8" xr:uid="{00000000-0005-0000-0000-00000C000000}"/>
    <cellStyle name="Normal 2 2" xfId="5" xr:uid="{00000000-0005-0000-0000-00000D000000}"/>
    <cellStyle name="Normal 2 3" xfId="17" xr:uid="{00000000-0005-0000-0000-00000E000000}"/>
    <cellStyle name="Normal 3" xfId="9" xr:uid="{00000000-0005-0000-0000-00000F000000}"/>
    <cellStyle name="Normal 4 2 2" xfId="13" xr:uid="{00000000-0005-0000-0000-000010000000}"/>
    <cellStyle name="Normal_Sheet1" xfId="7" xr:uid="{00000000-0005-0000-0000-00001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JPoo/Desktop/CMHA/Consolidated%202020%20Budget%20-%20Elgin%20Middlesex%20(middlesex%20ops)%20200416%20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JPoo/Desktop/CMHA/Consolidated%20Integrated%20Group%205%20Year%20Forecasts%20200417%20version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JPoo/Dropbox/TCOBI%20Middlesex%20CMHA/2020-21%20Budgets/Middlesex%20Budget%20Support/Consolidated%202020%20Budget%20-%20Elgin%20Middlesex%20(middlesex%20ops)%20200416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PL 1"/>
      <sheetName val="Summary PL 2"/>
      <sheetName val="Review Notes"/>
      <sheetName val="20 21 Revenue - Middlesex"/>
      <sheetName val="Budget by Funder"/>
      <sheetName val="LHIN Base - Middlesex"/>
      <sheetName val="Payment Notice - Middlesex"/>
      <sheetName val="JK DB 19 20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X9">
            <v>16746681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Support - Elgin"/>
      <sheetName val="Base Financials - Elgin"/>
      <sheetName val="Detailed Support - Oxford"/>
      <sheetName val="Base Financials - Oxford"/>
      <sheetName val="20 21 Revenue - Middlesex"/>
      <sheetName val="Budget by Funder"/>
      <sheetName val="CMHA-M 20-21 Bud"/>
      <sheetName val="Detailed Support - Middlesex"/>
      <sheetName val="Base Financials - Middlesex"/>
      <sheetName val="Detailed Support - ADSTV"/>
      <sheetName val="Base Financials - ADSTV (2)"/>
      <sheetName val="Base Financials - ADSTV"/>
      <sheetName val="Detailed Support - Consol"/>
      <sheetName val="Base Financials - Consol"/>
      <sheetName val="Base Financials - Total"/>
      <sheetName val="Base Financials - By location"/>
      <sheetName val="Presentation format"/>
      <sheetName val="Review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1">
          <cell r="M41">
            <v>26351074</v>
          </cell>
        </row>
        <row r="46">
          <cell r="M46">
            <v>2716878.6885245903</v>
          </cell>
        </row>
        <row r="47">
          <cell r="M47">
            <v>16468551.311475409</v>
          </cell>
        </row>
        <row r="51">
          <cell r="M51">
            <v>3039731.8835376273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PL 1"/>
      <sheetName val="Summary PL 2"/>
      <sheetName val="Review Notes"/>
      <sheetName val="20 21 Revenue - Middlesex"/>
      <sheetName val="Budget by Funder"/>
      <sheetName val="LHIN Base - Middlesex"/>
      <sheetName val="Payment Notice - Middlesex"/>
      <sheetName val="JK DB 19 20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X9">
            <v>16746681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../../../../../../../../../../../../../../../../../../../../../Anago%20&amp;%20WAYS/AppData/Local/Microsoft/AppData/Local/Microsoft/Windows/01%20Submissions/05%20MOH/2021/VALIDATED%20MHA%201000%2020-21.pdf" TargetMode="External"/><Relationship Id="rId13" Type="http://schemas.openxmlformats.org/officeDocument/2006/relationships/hyperlink" Target="../../../../../../../../../../../../../../../../../../../../../../../../../../../../Anago%20&amp;%20WAYS/AppData/Local/Microsoft/AppData/Local/Microsoft/Windows/01%20Submissions/06%20City%20of%20London/2021/CHPI%20Budget%20Template%202020-2021%20-%20MSP.xlsx" TargetMode="External"/><Relationship Id="rId3" Type="http://schemas.openxmlformats.org/officeDocument/2006/relationships/hyperlink" Target="../../../../../../../../../../../../../../../../../../../../../../../../../../../../Anago%20&amp;%20WAYS/AppData/Local/Microsoft/AppData/Local/Microsoft/Windows/01%20Submissions/05%20MOH/2021/VALIDATED%20CHO%2020-21.pdf" TargetMode="External"/><Relationship Id="rId7" Type="http://schemas.openxmlformats.org/officeDocument/2006/relationships/hyperlink" Target="../../../../../../../../../../../../../../../../../../../../../../../../../../../../Anago%20&amp;%20WAYS/AppData/Local/Microsoft/AppData/Local/Microsoft/Windows/01%20Submissions/05%20MOH/2021/VALIDATED%20Addictions%2020-21.pdf" TargetMode="External"/><Relationship Id="rId12" Type="http://schemas.openxmlformats.org/officeDocument/2006/relationships/hyperlink" Target="../../../../../../../../../../../../../../../../../../../../../../../../../../../../Anago%20&amp;%20WAYS/AppData/Local/Microsoft/AppData/Local/Microsoft/Windows/01%20Submissions/05%20MOH/2021/VALIDATED%20Transformational%2020-21.pdf" TargetMode="External"/><Relationship Id="rId17" Type="http://schemas.openxmlformats.org/officeDocument/2006/relationships/comments" Target="../comments1.xml"/><Relationship Id="rId2" Type="http://schemas.openxmlformats.org/officeDocument/2006/relationships/hyperlink" Target="../../../../../../../../../../../../../../../../../../../../../../../../../../../../Anago%20&amp;%20WAYS/AppData/Local/Microsoft/AppData/Local/Microsoft/06%20General%20Filing/MOUs/16-08-11%20-%20LHSC%20Eating%20Disorders.pdf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../../../../../../../../../../../../../../../../../../../../../../../../../../../../Anago%20&amp;%20WAYS/AppData/Local/Microsoft/AppData/Local/Microsoft/Windows/01%20Submissions/05%20MOH/2021/VALIDATED%20CHO%2020-21.pdf" TargetMode="External"/><Relationship Id="rId6" Type="http://schemas.openxmlformats.org/officeDocument/2006/relationships/hyperlink" Target="../../../../../../../../../../../../../../../../../../../../../../../../../../../../Anago%20&amp;%20WAYS/AppData/Local/Microsoft/AppData/Local/Microsoft/Windows/01%20Submissions/05%20MOH/2021/PNPH%2020-21.pdf" TargetMode="External"/><Relationship Id="rId11" Type="http://schemas.openxmlformats.org/officeDocument/2006/relationships/hyperlink" Target="../../../../../../../../../../../../../../../../../../../../../../../../../../../../Anago%20&amp;%20WAYS/AppData/Local/Microsoft/AppData/Local/Microsoft/Windows/01%20Submissions/05%20MOH/2021/VALIDATED%20Transformational%2020-21.pdf" TargetMode="External"/><Relationship Id="rId5" Type="http://schemas.openxmlformats.org/officeDocument/2006/relationships/hyperlink" Target="../../../../../../../../../../../../../../../../../../../../../../../../../../../../Anago%20&amp;%20WAYS/AppData/Local/Microsoft/AppData/Local/Microsoft/Windows/01%20Submissions/05%20MOH/2021/PNPH%2020-21.pdf" TargetMode="External"/><Relationship Id="rId15" Type="http://schemas.openxmlformats.org/officeDocument/2006/relationships/hyperlink" Target="../../../../../../../../../../../../../../../../../../../../../../../../../../../../Anago%20&amp;%20WAYS/AppData/Local/Microsoft/AppData/Local/Microsoft/03%20Funding/06%20City%20of%20London/CHPI%20-%20Housing%20First/2021/CMHA%20-%20Prelim%20Funding%20Agreement%20-%20CHIPI.pdf" TargetMode="External"/><Relationship Id="rId10" Type="http://schemas.openxmlformats.org/officeDocument/2006/relationships/hyperlink" Target="../../../../../../../../../../../../../../../../../../../../../../../../../../../../Anago%20&amp;%20WAYS/AppData/Local/Microsoft/AppData/Local/Microsoft/Windows/01%20Submissions/05%20MOH/2021/PNPH%2020-21.pdf" TargetMode="External"/><Relationship Id="rId4" Type="http://schemas.openxmlformats.org/officeDocument/2006/relationships/hyperlink" Target="../../../../../../../../../../../../../../../../../../../../../../../../../../../../Anago%20&amp;%20WAYS/AppData/Local/Microsoft/AppData/Local/Microsoft/Windows/01%20Submissions/05%20MOH/2021/VALIDATED%20Transformational%2020-21.pdf" TargetMode="External"/><Relationship Id="rId9" Type="http://schemas.openxmlformats.org/officeDocument/2006/relationships/hyperlink" Target="../../../../../../../../../../../../../../../../../../../../../../../../../../../../Anago%20&amp;%20WAYS/AppData/Local/Microsoft/AppData/Local/Microsoft/Windows/01%20Submissions/05%20MOH/2021/VALIDATED%20MHA%201150%2020-21.pdf" TargetMode="External"/><Relationship Id="rId14" Type="http://schemas.openxmlformats.org/officeDocument/2006/relationships/hyperlink" Target="../../../../../../../../../../../../../../../../../../../../../../../../../../../../Anago%20&amp;%20WAYS/AppData/Local/Microsoft/AppData/Local/Microsoft/03%20Funding/06%20City%20of%20London/CHPI%20-%20Housing%20First/2021/CMHA%20-%20Prelim%20Funding%20Agreement%20-%20CHIPI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../../../../../../../../../../../../../../../../../../../../../Anago%20&amp;%20WAYS/AppData/Local/01%20Submissions/05%20MOH/2021/VALIDATED%20MHA%201000%2020-21.pdf" TargetMode="External"/><Relationship Id="rId13" Type="http://schemas.openxmlformats.org/officeDocument/2006/relationships/hyperlink" Target="../../../../../../../../../../../../../../../../../../../../../../../../../../../../Anago%20&amp;%20WAYS/AppData/Local/01%20Submissions/06%20City%20of%20London/2021/CHPI%20Budget%20Template%202020-2021%20-%20MSP.xlsx" TargetMode="External"/><Relationship Id="rId3" Type="http://schemas.openxmlformats.org/officeDocument/2006/relationships/hyperlink" Target="../../../../../../../../../../../../../../../../../../../../../../../../../../../../Anago%20&amp;%20WAYS/AppData/Local/01%20Submissions/05%20MOH/2021/VALIDATED%20CHO%2020-21.pdf" TargetMode="External"/><Relationship Id="rId7" Type="http://schemas.openxmlformats.org/officeDocument/2006/relationships/hyperlink" Target="../../../../../../../../../../../../../../../../../../../../../../../../../../../../Anago%20&amp;%20WAYS/AppData/Local/01%20Submissions/05%20MOH/2021/VALIDATED%20Addictions%2020-21.pdf" TargetMode="External"/><Relationship Id="rId12" Type="http://schemas.openxmlformats.org/officeDocument/2006/relationships/hyperlink" Target="../../../../../../../../../../../../../../../../../../../../../../../../../../../../Anago%20&amp;%20WAYS/AppData/Local/01%20Submissions/05%20MOH/2021/VALIDATED%20Transformational%2020-21.pdf" TargetMode="External"/><Relationship Id="rId17" Type="http://schemas.openxmlformats.org/officeDocument/2006/relationships/comments" Target="../comments2.xml"/><Relationship Id="rId2" Type="http://schemas.openxmlformats.org/officeDocument/2006/relationships/hyperlink" Target="../../../../../../../../../../../../../../../../../../../../../../../../../../../../Anago%20&amp;%20WAYS/AppData/06%20General%20Filing/MOUs/16-08-11%20-%20LHSC%20Eating%20Disorders.pdf" TargetMode="External"/><Relationship Id="rId16" Type="http://schemas.openxmlformats.org/officeDocument/2006/relationships/vmlDrawing" Target="../drawings/vmlDrawing2.vml"/><Relationship Id="rId1" Type="http://schemas.openxmlformats.org/officeDocument/2006/relationships/hyperlink" Target="../../../../../../../../../../../../../../../../../../../../../../../../../../../../Anago%20&amp;%20WAYS/AppData/Local/01%20Submissions/05%20MOH/2021/VALIDATED%20CHO%2020-21.pdf" TargetMode="External"/><Relationship Id="rId6" Type="http://schemas.openxmlformats.org/officeDocument/2006/relationships/hyperlink" Target="../../../../../../../../../../../../../../../../../../../../../../../../../../../../Anago%20&amp;%20WAYS/AppData/Local/01%20Submissions/05%20MOH/2021/PNPH%2020-21.pdf" TargetMode="External"/><Relationship Id="rId11" Type="http://schemas.openxmlformats.org/officeDocument/2006/relationships/hyperlink" Target="../../../../../../../../../../../../../../../../../../../../../../../../../../../../Anago%20&amp;%20WAYS/AppData/Local/01%20Submissions/05%20MOH/2021/VALIDATED%20Transformational%2020-21.pdf" TargetMode="External"/><Relationship Id="rId5" Type="http://schemas.openxmlformats.org/officeDocument/2006/relationships/hyperlink" Target="../../../../../../../../../../../../../../../../../../../../../../../../../../../../Anago%20&amp;%20WAYS/AppData/Local/01%20Submissions/05%20MOH/2021/PNPH%2020-21.pdf" TargetMode="External"/><Relationship Id="rId15" Type="http://schemas.openxmlformats.org/officeDocument/2006/relationships/hyperlink" Target="../../../../../../../../../../../../../../../../../../../../../../../../../../../../Anago%20&amp;%20WAYS/AppData/03%20Funding/06%20City%20of%20London/CHPI%20-%20Housing%20First/2021/CMHA%20-%20Prelim%20Funding%20Agreement%20-%20CHIPI.pdf" TargetMode="External"/><Relationship Id="rId10" Type="http://schemas.openxmlformats.org/officeDocument/2006/relationships/hyperlink" Target="../../../../../../../../../../../../../../../../../../../../../../../../../../../../Anago%20&amp;%20WAYS/AppData/Local/01%20Submissions/05%20MOH/2021/PNPH%2020-21.pdf" TargetMode="External"/><Relationship Id="rId4" Type="http://schemas.openxmlformats.org/officeDocument/2006/relationships/hyperlink" Target="../../../../../../../../../../../../../../../../../../../../../../../../../../../../Anago%20&amp;%20WAYS/AppData/Local/01%20Submissions/05%20MOH/2021/VALIDATED%20Transformational%2020-21.pdf" TargetMode="External"/><Relationship Id="rId9" Type="http://schemas.openxmlformats.org/officeDocument/2006/relationships/hyperlink" Target="../../../../../../../../../../../../../../../../../../../../../../../../../../../../Anago%20&amp;%20WAYS/AppData/Local/01%20Submissions/05%20MOH/2021/VALIDATED%20MHA%201150%2020-21.pdf" TargetMode="External"/><Relationship Id="rId14" Type="http://schemas.openxmlformats.org/officeDocument/2006/relationships/hyperlink" Target="../../../../../../../../../../../../../../../../../../../../../../../../../../../../Anago%20&amp;%20WAYS/AppData/03%20Funding/06%20City%20of%20London/CHPI%20-%20Housing%20First/2021/CMHA%20-%20Prelim%20Funding%20Agreement%20-%20CHIPI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5"/>
  <sheetViews>
    <sheetView zoomScale="110" zoomScaleNormal="110" workbookViewId="0">
      <pane xSplit="1" ySplit="1" topLeftCell="B58" activePane="bottomRight" state="frozen"/>
      <selection pane="topRight" activeCell="B1" sqref="B1"/>
      <selection pane="bottomLeft" activeCell="A2" sqref="A2"/>
      <selection pane="bottomRight" activeCell="C67" sqref="C67"/>
    </sheetView>
  </sheetViews>
  <sheetFormatPr defaultColWidth="8.6640625" defaultRowHeight="13.8" outlineLevelRow="1" outlineLevelCol="1" x14ac:dyDescent="0.25"/>
  <cols>
    <col min="1" max="1" width="55.6640625" style="13" bestFit="1" customWidth="1"/>
    <col min="2" max="3" width="12.33203125" style="11" bestFit="1" customWidth="1"/>
    <col min="4" max="4" width="14.44140625" style="8" bestFit="1" customWidth="1"/>
    <col min="5" max="5" width="9.44140625" style="117" hidden="1" customWidth="1" outlineLevel="1"/>
    <col min="6" max="6" width="8.44140625" style="117" hidden="1" customWidth="1" outlineLevel="1"/>
    <col min="7" max="7" width="12.33203125" style="8" customWidth="1" collapsed="1"/>
    <col min="8" max="8" width="9.44140625" style="117" hidden="1" customWidth="1" outlineLevel="1"/>
    <col min="9" max="9" width="8.44140625" style="117" hidden="1" customWidth="1" outlineLevel="1"/>
    <col min="10" max="10" width="12" style="8" customWidth="1" collapsed="1"/>
    <col min="11" max="11" width="10.44140625" style="117" hidden="1" customWidth="1" outlineLevel="1"/>
    <col min="12" max="12" width="8.44140625" style="117" hidden="1" customWidth="1" outlineLevel="1"/>
    <col min="13" max="13" width="11.33203125" style="8" customWidth="1" collapsed="1"/>
    <col min="14" max="14" width="10.44140625" style="117" hidden="1" customWidth="1" outlineLevel="1"/>
    <col min="15" max="15" width="9" style="117" hidden="1" customWidth="1" outlineLevel="1"/>
    <col min="16" max="16" width="8.6640625" style="8" collapsed="1"/>
    <col min="17" max="16384" width="8.6640625" style="8"/>
  </cols>
  <sheetData>
    <row r="1" spans="1:15" s="5" customFormat="1" ht="42" x14ac:dyDescent="0.3">
      <c r="A1" s="1" t="s">
        <v>0</v>
      </c>
      <c r="B1" s="2" t="s">
        <v>203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4" t="s">
        <v>7</v>
      </c>
      <c r="I1" s="4" t="s">
        <v>8</v>
      </c>
      <c r="J1" s="3" t="s">
        <v>9</v>
      </c>
      <c r="K1" s="4" t="s">
        <v>10</v>
      </c>
      <c r="L1" s="4" t="s">
        <v>11</v>
      </c>
      <c r="M1" s="3" t="s">
        <v>12</v>
      </c>
      <c r="N1" s="4" t="s">
        <v>13</v>
      </c>
      <c r="O1" s="4" t="s">
        <v>14</v>
      </c>
    </row>
    <row r="2" spans="1:15" x14ac:dyDescent="0.25">
      <c r="A2" s="6" t="s">
        <v>15</v>
      </c>
      <c r="B2" s="7"/>
      <c r="C2" s="7"/>
    </row>
    <row r="3" spans="1:15" x14ac:dyDescent="0.25">
      <c r="A3" s="9"/>
      <c r="B3" s="10"/>
      <c r="C3" s="10"/>
    </row>
    <row r="4" spans="1:15" x14ac:dyDescent="0.25">
      <c r="A4" s="9" t="s">
        <v>16</v>
      </c>
      <c r="N4" s="118" t="e">
        <f>M5-J5</f>
        <v>#REF!</v>
      </c>
    </row>
    <row r="5" spans="1:15" x14ac:dyDescent="0.25">
      <c r="A5" s="12" t="s">
        <v>17</v>
      </c>
      <c r="B5" s="10" t="e">
        <f>#REF!</f>
        <v>#REF!</v>
      </c>
      <c r="C5" s="10" t="e">
        <f>#REF!</f>
        <v>#REF!</v>
      </c>
      <c r="D5" s="10" t="e">
        <f>#REF!</f>
        <v>#REF!</v>
      </c>
      <c r="E5" s="118" t="e">
        <f>D5-C5</f>
        <v>#REF!</v>
      </c>
      <c r="G5" s="10" t="e">
        <f>#REF!</f>
        <v>#REF!</v>
      </c>
      <c r="H5" s="118" t="e">
        <f>G5-D5</f>
        <v>#REF!</v>
      </c>
      <c r="J5" s="10" t="e">
        <f>#REF!</f>
        <v>#REF!</v>
      </c>
      <c r="K5" s="118" t="e">
        <f>J5-G5</f>
        <v>#REF!</v>
      </c>
      <c r="M5" s="10" t="e">
        <f>#REF!</f>
        <v>#REF!</v>
      </c>
      <c r="N5" s="118" t="e">
        <f>#REF!-#REF!</f>
        <v>#REF!</v>
      </c>
    </row>
    <row r="6" spans="1:15" hidden="1" outlineLevel="1" x14ac:dyDescent="0.25">
      <c r="A6" s="12" t="s">
        <v>204</v>
      </c>
      <c r="B6" s="10"/>
      <c r="C6" s="10"/>
      <c r="D6" s="10"/>
      <c r="E6" s="118"/>
      <c r="G6" s="10"/>
      <c r="H6" s="118"/>
      <c r="J6" s="10"/>
      <c r="K6" s="118"/>
      <c r="M6" s="10"/>
      <c r="N6" s="118"/>
    </row>
    <row r="7" spans="1:15" hidden="1" outlineLevel="1" x14ac:dyDescent="0.25">
      <c r="A7" s="12" t="s">
        <v>205</v>
      </c>
      <c r="B7" s="10"/>
      <c r="C7" s="10"/>
      <c r="D7" s="10"/>
      <c r="E7" s="118"/>
      <c r="G7" s="10"/>
      <c r="H7" s="118"/>
      <c r="J7" s="10"/>
      <c r="K7" s="118"/>
      <c r="M7" s="10"/>
      <c r="N7" s="118"/>
    </row>
    <row r="8" spans="1:15" hidden="1" outlineLevel="1" x14ac:dyDescent="0.25">
      <c r="A8" s="12" t="s">
        <v>18</v>
      </c>
      <c r="B8" s="10" t="e">
        <f>#REF!</f>
        <v>#REF!</v>
      </c>
      <c r="C8" s="10" t="e">
        <f>#REF!</f>
        <v>#REF!</v>
      </c>
      <c r="D8" s="10" t="e">
        <f>#REF!</f>
        <v>#REF!</v>
      </c>
      <c r="E8" s="118" t="e">
        <f t="shared" ref="E8:E13" si="0">D8-C8</f>
        <v>#REF!</v>
      </c>
      <c r="G8" s="10" t="e">
        <f>#REF!</f>
        <v>#REF!</v>
      </c>
      <c r="H8" s="118" t="e">
        <f t="shared" ref="H8:H13" si="1">G8-D8</f>
        <v>#REF!</v>
      </c>
      <c r="J8" s="10" t="e">
        <f>#REF!</f>
        <v>#REF!</v>
      </c>
      <c r="K8" s="118" t="e">
        <f t="shared" ref="K8:K13" si="2">J8-G8</f>
        <v>#REF!</v>
      </c>
      <c r="M8" s="10" t="e">
        <f>#REF!</f>
        <v>#REF!</v>
      </c>
      <c r="N8" s="118" t="e">
        <f t="shared" ref="N8:N13" si="3">M8-J8</f>
        <v>#REF!</v>
      </c>
    </row>
    <row r="9" spans="1:15" hidden="1" outlineLevel="1" x14ac:dyDescent="0.25">
      <c r="A9" s="12" t="s">
        <v>19</v>
      </c>
      <c r="B9" s="10" t="e">
        <f>#REF!</f>
        <v>#REF!</v>
      </c>
      <c r="C9" s="10" t="e">
        <f>#REF!</f>
        <v>#REF!</v>
      </c>
      <c r="D9" s="10" t="e">
        <f>#REF!</f>
        <v>#REF!</v>
      </c>
      <c r="E9" s="118" t="e">
        <f t="shared" si="0"/>
        <v>#REF!</v>
      </c>
      <c r="G9" s="10" t="e">
        <f>#REF!</f>
        <v>#REF!</v>
      </c>
      <c r="H9" s="118" t="e">
        <f t="shared" si="1"/>
        <v>#REF!</v>
      </c>
      <c r="J9" s="10" t="e">
        <f>#REF!</f>
        <v>#REF!</v>
      </c>
      <c r="K9" s="118" t="e">
        <f t="shared" si="2"/>
        <v>#REF!</v>
      </c>
      <c r="M9" s="10" t="e">
        <f>#REF!</f>
        <v>#REF!</v>
      </c>
      <c r="N9" s="118" t="e">
        <f t="shared" si="3"/>
        <v>#REF!</v>
      </c>
    </row>
    <row r="10" spans="1:15" hidden="1" outlineLevel="1" x14ac:dyDescent="0.25">
      <c r="A10" s="13" t="s">
        <v>20</v>
      </c>
      <c r="B10" s="10" t="e">
        <f>#REF!</f>
        <v>#REF!</v>
      </c>
      <c r="C10" s="10" t="e">
        <f>#REF!</f>
        <v>#REF!</v>
      </c>
      <c r="D10" s="10" t="e">
        <f>#REF!</f>
        <v>#REF!</v>
      </c>
      <c r="E10" s="118" t="e">
        <f t="shared" si="0"/>
        <v>#REF!</v>
      </c>
      <c r="G10" s="10" t="e">
        <f>#REF!</f>
        <v>#REF!</v>
      </c>
      <c r="H10" s="118" t="e">
        <f t="shared" si="1"/>
        <v>#REF!</v>
      </c>
      <c r="J10" s="10" t="e">
        <f>#REF!</f>
        <v>#REF!</v>
      </c>
      <c r="K10" s="118" t="e">
        <f t="shared" si="2"/>
        <v>#REF!</v>
      </c>
      <c r="M10" s="10" t="e">
        <f>#REF!</f>
        <v>#REF!</v>
      </c>
      <c r="N10" s="118" t="e">
        <f t="shared" si="3"/>
        <v>#REF!</v>
      </c>
    </row>
    <row r="11" spans="1:15" hidden="1" outlineLevel="1" x14ac:dyDescent="0.25">
      <c r="A11" s="13" t="s">
        <v>21</v>
      </c>
      <c r="B11" s="10" t="e">
        <f>#REF!</f>
        <v>#REF!</v>
      </c>
      <c r="C11" s="10" t="e">
        <f>#REF!</f>
        <v>#REF!</v>
      </c>
      <c r="D11" s="10" t="e">
        <f>#REF!</f>
        <v>#REF!</v>
      </c>
      <c r="E11" s="118" t="e">
        <f t="shared" si="0"/>
        <v>#REF!</v>
      </c>
      <c r="G11" s="10" t="e">
        <f>#REF!</f>
        <v>#REF!</v>
      </c>
      <c r="H11" s="118" t="e">
        <f t="shared" si="1"/>
        <v>#REF!</v>
      </c>
      <c r="J11" s="10" t="e">
        <f>#REF!</f>
        <v>#REF!</v>
      </c>
      <c r="K11" s="118" t="e">
        <f t="shared" si="2"/>
        <v>#REF!</v>
      </c>
      <c r="M11" s="10" t="e">
        <f>#REF!</f>
        <v>#REF!</v>
      </c>
      <c r="N11" s="118" t="e">
        <f t="shared" si="3"/>
        <v>#REF!</v>
      </c>
    </row>
    <row r="12" spans="1:15" hidden="1" outlineLevel="1" x14ac:dyDescent="0.25">
      <c r="A12" s="13" t="s">
        <v>22</v>
      </c>
      <c r="B12" s="10" t="e">
        <f>#REF!</f>
        <v>#REF!</v>
      </c>
      <c r="C12" s="10" t="e">
        <f>#REF!</f>
        <v>#REF!</v>
      </c>
      <c r="D12" s="10" t="e">
        <f>#REF!</f>
        <v>#REF!</v>
      </c>
      <c r="E12" s="118" t="e">
        <f t="shared" si="0"/>
        <v>#REF!</v>
      </c>
      <c r="G12" s="10" t="e">
        <f>#REF!</f>
        <v>#REF!</v>
      </c>
      <c r="H12" s="118" t="e">
        <f t="shared" si="1"/>
        <v>#REF!</v>
      </c>
      <c r="J12" s="10" t="e">
        <f>#REF!</f>
        <v>#REF!</v>
      </c>
      <c r="K12" s="118" t="e">
        <f t="shared" si="2"/>
        <v>#REF!</v>
      </c>
      <c r="M12" s="10" t="e">
        <f>#REF!</f>
        <v>#REF!</v>
      </c>
      <c r="N12" s="118" t="e">
        <f t="shared" si="3"/>
        <v>#REF!</v>
      </c>
    </row>
    <row r="13" spans="1:15" collapsed="1" x14ac:dyDescent="0.25">
      <c r="A13" s="9" t="s">
        <v>23</v>
      </c>
      <c r="B13" s="10" t="e">
        <f>#REF!</f>
        <v>#REF!</v>
      </c>
      <c r="C13" s="10" t="e">
        <f>#REF!</f>
        <v>#REF!</v>
      </c>
      <c r="D13" s="10" t="e">
        <f>#REF!</f>
        <v>#REF!</v>
      </c>
      <c r="E13" s="118" t="e">
        <f t="shared" si="0"/>
        <v>#REF!</v>
      </c>
      <c r="G13" s="10" t="e">
        <f>#REF!</f>
        <v>#REF!</v>
      </c>
      <c r="H13" s="118" t="e">
        <f t="shared" si="1"/>
        <v>#REF!</v>
      </c>
      <c r="J13" s="10" t="e">
        <f>#REF!</f>
        <v>#REF!</v>
      </c>
      <c r="K13" s="118" t="e">
        <f t="shared" si="2"/>
        <v>#REF!</v>
      </c>
      <c r="M13" s="10" t="e">
        <f>#REF!</f>
        <v>#REF!</v>
      </c>
      <c r="N13" s="118" t="e">
        <f t="shared" si="3"/>
        <v>#REF!</v>
      </c>
    </row>
    <row r="14" spans="1:15" s="16" customFormat="1" ht="14.4" thickBot="1" x14ac:dyDescent="0.3">
      <c r="A14" s="14" t="s">
        <v>24</v>
      </c>
      <c r="B14" s="15" t="e">
        <f t="shared" ref="B14:M14" si="4">SUM(B5:B13)</f>
        <v>#REF!</v>
      </c>
      <c r="C14" s="15" t="e">
        <f t="shared" si="4"/>
        <v>#REF!</v>
      </c>
      <c r="D14" s="15" t="e">
        <f t="shared" si="4"/>
        <v>#REF!</v>
      </c>
      <c r="E14" s="119" t="e">
        <f t="shared" si="4"/>
        <v>#REF!</v>
      </c>
      <c r="F14" s="119">
        <f t="shared" si="4"/>
        <v>0</v>
      </c>
      <c r="G14" s="15" t="e">
        <f t="shared" si="4"/>
        <v>#REF!</v>
      </c>
      <c r="H14" s="119" t="e">
        <f t="shared" si="4"/>
        <v>#REF!</v>
      </c>
      <c r="I14" s="119">
        <f t="shared" si="4"/>
        <v>0</v>
      </c>
      <c r="J14" s="15" t="e">
        <f t="shared" si="4"/>
        <v>#REF!</v>
      </c>
      <c r="K14" s="119" t="e">
        <f t="shared" si="4"/>
        <v>#REF!</v>
      </c>
      <c r="L14" s="119">
        <f t="shared" si="4"/>
        <v>0</v>
      </c>
      <c r="M14" s="15" t="e">
        <f t="shared" si="4"/>
        <v>#REF!</v>
      </c>
      <c r="N14" s="119" t="e">
        <f>SUM(N4:N13)</f>
        <v>#REF!</v>
      </c>
      <c r="O14" s="119">
        <f>SUM(O4:O13)</f>
        <v>0</v>
      </c>
    </row>
    <row r="15" spans="1:15" ht="14.4" thickTop="1" x14ac:dyDescent="0.25">
      <c r="A15" s="9"/>
      <c r="B15" s="17"/>
      <c r="C15" s="17"/>
      <c r="D15" s="17"/>
      <c r="G15" s="17"/>
      <c r="J15" s="17"/>
      <c r="M15" s="17"/>
    </row>
    <row r="16" spans="1:15" x14ac:dyDescent="0.25">
      <c r="A16" s="9" t="s">
        <v>25</v>
      </c>
      <c r="B16" s="10" t="e">
        <f>#REF!</f>
        <v>#REF!</v>
      </c>
      <c r="C16" s="10" t="e">
        <f>#REF!</f>
        <v>#REF!</v>
      </c>
      <c r="D16" s="10" t="e">
        <f>#REF!</f>
        <v>#REF!</v>
      </c>
      <c r="E16" s="118" t="e">
        <f t="shared" ref="E16:E21" si="5">D16-C16</f>
        <v>#REF!</v>
      </c>
      <c r="G16" s="10" t="e">
        <f>#REF!</f>
        <v>#REF!</v>
      </c>
      <c r="H16" s="118" t="e">
        <f t="shared" ref="H16:H21" si="6">G16-D16</f>
        <v>#REF!</v>
      </c>
      <c r="J16" s="10" t="e">
        <f>#REF!</f>
        <v>#REF!</v>
      </c>
      <c r="K16" s="118" t="e">
        <f t="shared" ref="K16:K21" si="7">J16-G16</f>
        <v>#REF!</v>
      </c>
      <c r="M16" s="10" t="e">
        <f>#REF!</f>
        <v>#REF!</v>
      </c>
      <c r="N16" s="118" t="e">
        <f t="shared" ref="N16:N21" si="8">M16-J16</f>
        <v>#REF!</v>
      </c>
    </row>
    <row r="17" spans="1:15" x14ac:dyDescent="0.25">
      <c r="A17" s="9" t="s">
        <v>26</v>
      </c>
      <c r="B17" s="10" t="e">
        <f>#REF!</f>
        <v>#REF!</v>
      </c>
      <c r="C17" s="10" t="e">
        <f>#REF!</f>
        <v>#REF!</v>
      </c>
      <c r="D17" s="10" t="e">
        <f>#REF!</f>
        <v>#REF!</v>
      </c>
      <c r="E17" s="118" t="e">
        <f t="shared" si="5"/>
        <v>#REF!</v>
      </c>
      <c r="G17" s="10" t="e">
        <f>#REF!</f>
        <v>#REF!</v>
      </c>
      <c r="H17" s="118" t="e">
        <f t="shared" si="6"/>
        <v>#REF!</v>
      </c>
      <c r="J17" s="10" t="e">
        <f>#REF!</f>
        <v>#REF!</v>
      </c>
      <c r="K17" s="118" t="e">
        <f t="shared" si="7"/>
        <v>#REF!</v>
      </c>
      <c r="M17" s="10" t="e">
        <f>#REF!</f>
        <v>#REF!</v>
      </c>
      <c r="N17" s="118" t="e">
        <f t="shared" si="8"/>
        <v>#REF!</v>
      </c>
    </row>
    <row r="18" spans="1:15" x14ac:dyDescent="0.25">
      <c r="A18" s="9" t="s">
        <v>27</v>
      </c>
      <c r="B18" s="10" t="e">
        <f>#REF!</f>
        <v>#REF!</v>
      </c>
      <c r="C18" s="10" t="e">
        <f>#REF!</f>
        <v>#REF!</v>
      </c>
      <c r="D18" s="10" t="e">
        <f>#REF!</f>
        <v>#REF!</v>
      </c>
      <c r="E18" s="118" t="e">
        <f t="shared" si="5"/>
        <v>#REF!</v>
      </c>
      <c r="G18" s="10" t="e">
        <f>#REF!</f>
        <v>#REF!</v>
      </c>
      <c r="H18" s="118" t="e">
        <f t="shared" si="6"/>
        <v>#REF!</v>
      </c>
      <c r="J18" s="10" t="e">
        <f>#REF!</f>
        <v>#REF!</v>
      </c>
      <c r="K18" s="118" t="e">
        <f t="shared" si="7"/>
        <v>#REF!</v>
      </c>
      <c r="M18" s="10" t="e">
        <f>#REF!</f>
        <v>#REF!</v>
      </c>
      <c r="N18" s="118" t="e">
        <f t="shared" si="8"/>
        <v>#REF!</v>
      </c>
    </row>
    <row r="19" spans="1:15" hidden="1" outlineLevel="1" x14ac:dyDescent="0.25">
      <c r="A19" s="9" t="s">
        <v>28</v>
      </c>
      <c r="B19" s="10" t="e">
        <f>#REF!</f>
        <v>#REF!</v>
      </c>
      <c r="C19" s="10" t="e">
        <f>#REF!</f>
        <v>#REF!</v>
      </c>
      <c r="D19" s="10" t="e">
        <f>#REF!</f>
        <v>#REF!</v>
      </c>
      <c r="E19" s="118" t="e">
        <f t="shared" si="5"/>
        <v>#REF!</v>
      </c>
      <c r="G19" s="10" t="e">
        <f>#REF!</f>
        <v>#REF!</v>
      </c>
      <c r="H19" s="118" t="e">
        <f t="shared" si="6"/>
        <v>#REF!</v>
      </c>
      <c r="J19" s="10" t="e">
        <f>#REF!</f>
        <v>#REF!</v>
      </c>
      <c r="K19" s="118" t="e">
        <f t="shared" si="7"/>
        <v>#REF!</v>
      </c>
      <c r="M19" s="10" t="e">
        <f>#REF!</f>
        <v>#REF!</v>
      </c>
      <c r="N19" s="118" t="e">
        <f t="shared" si="8"/>
        <v>#REF!</v>
      </c>
    </row>
    <row r="20" spans="1:15" hidden="1" outlineLevel="1" x14ac:dyDescent="0.25">
      <c r="A20" s="9" t="s">
        <v>29</v>
      </c>
      <c r="B20" s="10" t="e">
        <f>#REF!</f>
        <v>#REF!</v>
      </c>
      <c r="C20" s="10" t="e">
        <f>#REF!</f>
        <v>#REF!</v>
      </c>
      <c r="D20" s="10" t="e">
        <f>#REF!</f>
        <v>#REF!</v>
      </c>
      <c r="E20" s="118" t="e">
        <f t="shared" si="5"/>
        <v>#REF!</v>
      </c>
      <c r="G20" s="10" t="e">
        <f>#REF!</f>
        <v>#REF!</v>
      </c>
      <c r="H20" s="118" t="e">
        <f t="shared" si="6"/>
        <v>#REF!</v>
      </c>
      <c r="J20" s="10" t="e">
        <f>#REF!</f>
        <v>#REF!</v>
      </c>
      <c r="K20" s="118" t="e">
        <f t="shared" si="7"/>
        <v>#REF!</v>
      </c>
      <c r="M20" s="10" t="e">
        <f>#REF!</f>
        <v>#REF!</v>
      </c>
      <c r="N20" s="118" t="e">
        <f t="shared" si="8"/>
        <v>#REF!</v>
      </c>
    </row>
    <row r="21" spans="1:15" hidden="1" outlineLevel="1" x14ac:dyDescent="0.25">
      <c r="A21" s="9" t="s">
        <v>30</v>
      </c>
      <c r="B21" s="10" t="e">
        <f>#REF!</f>
        <v>#REF!</v>
      </c>
      <c r="C21" s="10" t="e">
        <f>#REF!</f>
        <v>#REF!</v>
      </c>
      <c r="D21" s="10" t="e">
        <f>#REF!</f>
        <v>#REF!</v>
      </c>
      <c r="E21" s="118" t="e">
        <f t="shared" si="5"/>
        <v>#REF!</v>
      </c>
      <c r="G21" s="10" t="e">
        <f>#REF!</f>
        <v>#REF!</v>
      </c>
      <c r="H21" s="118" t="e">
        <f t="shared" si="6"/>
        <v>#REF!</v>
      </c>
      <c r="J21" s="10" t="e">
        <f>#REF!</f>
        <v>#REF!</v>
      </c>
      <c r="K21" s="118" t="e">
        <f t="shared" si="7"/>
        <v>#REF!</v>
      </c>
      <c r="M21" s="10" t="e">
        <f>#REF!</f>
        <v>#REF!</v>
      </c>
      <c r="N21" s="118" t="e">
        <f t="shared" si="8"/>
        <v>#REF!</v>
      </c>
    </row>
    <row r="22" spans="1:15" hidden="1" outlineLevel="1" x14ac:dyDescent="0.25">
      <c r="A22" s="9" t="s">
        <v>31</v>
      </c>
      <c r="B22" s="10" t="e">
        <f>#REF!</f>
        <v>#REF!</v>
      </c>
      <c r="C22" s="10" t="e">
        <f>#REF!</f>
        <v>#REF!</v>
      </c>
      <c r="D22" s="10" t="e">
        <f>#REF!</f>
        <v>#REF!</v>
      </c>
      <c r="E22" s="145" t="e">
        <f t="shared" ref="E22:O22" si="9">SUM(E16:E21)</f>
        <v>#REF!</v>
      </c>
      <c r="F22" s="145">
        <f t="shared" si="9"/>
        <v>0</v>
      </c>
      <c r="G22" s="10" t="e">
        <f>#REF!</f>
        <v>#REF!</v>
      </c>
      <c r="H22" s="145" t="e">
        <f t="shared" si="9"/>
        <v>#REF!</v>
      </c>
      <c r="I22" s="145">
        <f t="shared" si="9"/>
        <v>0</v>
      </c>
      <c r="J22" s="10" t="e">
        <f>#REF!</f>
        <v>#REF!</v>
      </c>
      <c r="K22" s="145" t="e">
        <f t="shared" si="9"/>
        <v>#REF!</v>
      </c>
      <c r="L22" s="145">
        <f t="shared" si="9"/>
        <v>0</v>
      </c>
      <c r="M22" s="10" t="e">
        <f>#REF!</f>
        <v>#REF!</v>
      </c>
      <c r="N22" s="145" t="e">
        <f t="shared" si="9"/>
        <v>#REF!</v>
      </c>
      <c r="O22" s="145">
        <f t="shared" si="9"/>
        <v>0</v>
      </c>
    </row>
    <row r="23" spans="1:15" collapsed="1" x14ac:dyDescent="0.25">
      <c r="A23" s="9"/>
      <c r="B23" s="10" t="e">
        <f>#REF!</f>
        <v>#REF!</v>
      </c>
      <c r="C23" s="10" t="e">
        <f>#REF!</f>
        <v>#REF!</v>
      </c>
      <c r="D23" s="10" t="e">
        <f>#REF!</f>
        <v>#REF!</v>
      </c>
      <c r="G23" s="10" t="e">
        <f>#REF!</f>
        <v>#REF!</v>
      </c>
      <c r="J23" s="10" t="e">
        <f>#REF!</f>
        <v>#REF!</v>
      </c>
      <c r="M23" s="10" t="e">
        <f>#REF!</f>
        <v>#REF!</v>
      </c>
    </row>
    <row r="24" spans="1:15" x14ac:dyDescent="0.25">
      <c r="A24" s="9" t="s">
        <v>32</v>
      </c>
      <c r="B24" s="10" t="e">
        <f>#REF!</f>
        <v>#REF!</v>
      </c>
      <c r="C24" s="10" t="e">
        <f>#REF!</f>
        <v>#REF!</v>
      </c>
      <c r="D24" s="10" t="e">
        <f>#REF!</f>
        <v>#REF!</v>
      </c>
      <c r="G24" s="10" t="e">
        <f>#REF!</f>
        <v>#REF!</v>
      </c>
      <c r="J24" s="10" t="e">
        <f>#REF!</f>
        <v>#REF!</v>
      </c>
      <c r="M24" s="10" t="e">
        <f>#REF!</f>
        <v>#REF!</v>
      </c>
    </row>
    <row r="25" spans="1:15" s="16" customFormat="1" ht="14.4" thickBot="1" x14ac:dyDescent="0.3">
      <c r="A25" s="14" t="s">
        <v>33</v>
      </c>
      <c r="B25" s="20" t="e">
        <f>SUM(B14:B24)</f>
        <v>#REF!</v>
      </c>
      <c r="C25" s="20" t="e">
        <f t="shared" ref="C25:O25" si="10">SUM(C14:C24)</f>
        <v>#REF!</v>
      </c>
      <c r="D25" s="20" t="e">
        <f t="shared" si="10"/>
        <v>#REF!</v>
      </c>
      <c r="E25" s="20" t="e">
        <f t="shared" si="10"/>
        <v>#REF!</v>
      </c>
      <c r="F25" s="20">
        <f t="shared" si="10"/>
        <v>0</v>
      </c>
      <c r="G25" s="20" t="e">
        <f t="shared" si="10"/>
        <v>#REF!</v>
      </c>
      <c r="H25" s="20" t="e">
        <f t="shared" si="10"/>
        <v>#REF!</v>
      </c>
      <c r="I25" s="20">
        <f t="shared" si="10"/>
        <v>0</v>
      </c>
      <c r="J25" s="20" t="e">
        <f t="shared" si="10"/>
        <v>#REF!</v>
      </c>
      <c r="K25" s="20" t="e">
        <f t="shared" si="10"/>
        <v>#REF!</v>
      </c>
      <c r="L25" s="20">
        <f t="shared" si="10"/>
        <v>0</v>
      </c>
      <c r="M25" s="20" t="e">
        <f t="shared" si="10"/>
        <v>#REF!</v>
      </c>
      <c r="N25" s="20" t="e">
        <f t="shared" si="10"/>
        <v>#REF!</v>
      </c>
      <c r="O25" s="20">
        <f t="shared" si="10"/>
        <v>0</v>
      </c>
    </row>
    <row r="26" spans="1:15" ht="14.4" thickTop="1" x14ac:dyDescent="0.25">
      <c r="A26" s="9"/>
      <c r="B26" s="168" t="e">
        <f>B25-#REF!</f>
        <v>#REF!</v>
      </c>
      <c r="C26" s="168" t="e">
        <f>C25-#REF!</f>
        <v>#REF!</v>
      </c>
      <c r="D26" s="168" t="e">
        <f>D25-#REF!</f>
        <v>#REF!</v>
      </c>
      <c r="E26" s="180"/>
      <c r="F26" s="180"/>
      <c r="G26" s="168" t="e">
        <f>G25-#REF!</f>
        <v>#REF!</v>
      </c>
      <c r="H26" s="180"/>
      <c r="I26" s="180"/>
      <c r="J26" s="168" t="e">
        <f>J25-#REF!</f>
        <v>#REF!</v>
      </c>
      <c r="K26" s="180"/>
      <c r="L26" s="180"/>
      <c r="M26" s="168" t="e">
        <f>M25-#REF!</f>
        <v>#REF!</v>
      </c>
      <c r="N26" s="180"/>
      <c r="O26" s="180"/>
    </row>
    <row r="27" spans="1:15" x14ac:dyDescent="0.25">
      <c r="A27" s="6" t="s">
        <v>34</v>
      </c>
      <c r="B27" s="10"/>
      <c r="C27" s="10"/>
      <c r="D27" s="10"/>
      <c r="G27" s="10"/>
      <c r="J27" s="10"/>
      <c r="M27" s="10"/>
    </row>
    <row r="28" spans="1:15" x14ac:dyDescent="0.25">
      <c r="A28" s="9" t="s">
        <v>35</v>
      </c>
      <c r="B28" s="10"/>
      <c r="C28" s="10"/>
      <c r="D28" s="10"/>
      <c r="G28" s="10"/>
      <c r="J28" s="10"/>
      <c r="M28" s="10"/>
    </row>
    <row r="29" spans="1:15" x14ac:dyDescent="0.25">
      <c r="A29" s="9" t="s">
        <v>36</v>
      </c>
      <c r="B29" s="10" t="e">
        <f>#REF!</f>
        <v>#REF!</v>
      </c>
      <c r="C29" s="10" t="e">
        <f>#REF!</f>
        <v>#REF!</v>
      </c>
      <c r="D29" s="10" t="e">
        <f>#REF!</f>
        <v>#REF!</v>
      </c>
      <c r="E29" s="118" t="e">
        <f t="shared" ref="E29:E34" si="11">D29-C29</f>
        <v>#REF!</v>
      </c>
      <c r="G29" s="10" t="e">
        <f>#REF!</f>
        <v>#REF!</v>
      </c>
      <c r="H29" s="118" t="e">
        <f>G29-D29</f>
        <v>#REF!</v>
      </c>
      <c r="J29" s="10" t="e">
        <f>#REF!</f>
        <v>#REF!</v>
      </c>
      <c r="K29" s="118" t="e">
        <f>J29-G29</f>
        <v>#REF!</v>
      </c>
      <c r="M29" s="10" t="e">
        <f>#REF!</f>
        <v>#REF!</v>
      </c>
      <c r="N29" s="118" t="e">
        <f>M29-J29</f>
        <v>#REF!</v>
      </c>
    </row>
    <row r="30" spans="1:15" x14ac:dyDescent="0.25">
      <c r="A30" s="9" t="s">
        <v>37</v>
      </c>
      <c r="B30" s="10" t="e">
        <f>#REF!</f>
        <v>#REF!</v>
      </c>
      <c r="C30" s="10" t="e">
        <f>#REF!</f>
        <v>#REF!</v>
      </c>
      <c r="D30" s="10" t="e">
        <f>#REF!</f>
        <v>#REF!</v>
      </c>
      <c r="E30" s="118" t="e">
        <f t="shared" si="11"/>
        <v>#REF!</v>
      </c>
      <c r="G30" s="10" t="e">
        <f>#REF!</f>
        <v>#REF!</v>
      </c>
      <c r="H30" s="118" t="e">
        <f>G30-D30</f>
        <v>#REF!</v>
      </c>
      <c r="J30" s="10" t="e">
        <f>#REF!</f>
        <v>#REF!</v>
      </c>
      <c r="K30" s="118" t="e">
        <f>J30-G30</f>
        <v>#REF!</v>
      </c>
      <c r="M30" s="10" t="e">
        <f>#REF!</f>
        <v>#REF!</v>
      </c>
      <c r="N30" s="118" t="e">
        <f>M30-J30</f>
        <v>#REF!</v>
      </c>
    </row>
    <row r="31" spans="1:15" x14ac:dyDescent="0.25">
      <c r="A31" s="9" t="s">
        <v>38</v>
      </c>
      <c r="B31" s="10" t="e">
        <f>#REF!</f>
        <v>#REF!</v>
      </c>
      <c r="C31" s="10" t="e">
        <f>#REF!</f>
        <v>#REF!</v>
      </c>
      <c r="D31" s="10" t="e">
        <f>#REF!</f>
        <v>#REF!</v>
      </c>
      <c r="E31" s="118" t="e">
        <f t="shared" si="11"/>
        <v>#REF!</v>
      </c>
      <c r="G31" s="10" t="e">
        <f>#REF!</f>
        <v>#REF!</v>
      </c>
      <c r="H31" s="118" t="e">
        <f>G31-D31</f>
        <v>#REF!</v>
      </c>
      <c r="J31" s="10" t="e">
        <f>#REF!</f>
        <v>#REF!</v>
      </c>
      <c r="K31" s="118" t="e">
        <f>J31-G31</f>
        <v>#REF!</v>
      </c>
      <c r="M31" s="10" t="e">
        <f>#REF!</f>
        <v>#REF!</v>
      </c>
      <c r="N31" s="118" t="e">
        <f>M31-J31</f>
        <v>#REF!</v>
      </c>
    </row>
    <row r="32" spans="1:15" x14ac:dyDescent="0.25">
      <c r="A32" s="9" t="s">
        <v>39</v>
      </c>
      <c r="B32" s="17" t="e">
        <f>SUM(B29:B31)</f>
        <v>#REF!</v>
      </c>
      <c r="C32" s="17" t="e">
        <f>SUM(C29:C31)</f>
        <v>#REF!</v>
      </c>
      <c r="D32" s="17" t="e">
        <f>SUM(D29:D31)</f>
        <v>#REF!</v>
      </c>
      <c r="E32" s="146" t="e">
        <f t="shared" ref="E32:O32" si="12">SUM(E29:E31)</f>
        <v>#REF!</v>
      </c>
      <c r="F32" s="146">
        <f t="shared" si="12"/>
        <v>0</v>
      </c>
      <c r="G32" s="17" t="e">
        <f>SUM(G29:G31)</f>
        <v>#REF!</v>
      </c>
      <c r="H32" s="146" t="e">
        <f t="shared" si="12"/>
        <v>#REF!</v>
      </c>
      <c r="I32" s="146">
        <f t="shared" si="12"/>
        <v>0</v>
      </c>
      <c r="J32" s="17" t="e">
        <f>SUM(J29:J31)</f>
        <v>#REF!</v>
      </c>
      <c r="K32" s="146" t="e">
        <f t="shared" si="12"/>
        <v>#REF!</v>
      </c>
      <c r="L32" s="146">
        <f t="shared" si="12"/>
        <v>0</v>
      </c>
      <c r="M32" s="17" t="e">
        <f>SUM(M29:M31)</f>
        <v>#REF!</v>
      </c>
      <c r="N32" s="146" t="e">
        <f t="shared" si="12"/>
        <v>#REF!</v>
      </c>
      <c r="O32" s="146">
        <f t="shared" si="12"/>
        <v>0</v>
      </c>
    </row>
    <row r="33" spans="1:15" x14ac:dyDescent="0.25">
      <c r="A33" s="9"/>
      <c r="B33" s="17"/>
      <c r="C33" s="17"/>
      <c r="D33" s="17"/>
      <c r="E33" s="146"/>
      <c r="F33" s="146"/>
      <c r="G33" s="17"/>
      <c r="H33" s="146"/>
      <c r="I33" s="146"/>
      <c r="J33" s="17"/>
      <c r="K33" s="146"/>
      <c r="L33" s="146"/>
      <c r="M33" s="17"/>
      <c r="N33" s="146"/>
      <c r="O33" s="146"/>
    </row>
    <row r="34" spans="1:15" x14ac:dyDescent="0.25">
      <c r="A34" s="9" t="s">
        <v>40</v>
      </c>
      <c r="B34" s="10" t="e">
        <f>#REF!</f>
        <v>#REF!</v>
      </c>
      <c r="C34" s="10" t="e">
        <f>#REF!</f>
        <v>#REF!</v>
      </c>
      <c r="D34" s="10" t="e">
        <f>#REF!</f>
        <v>#REF!</v>
      </c>
      <c r="E34" s="118" t="e">
        <f t="shared" si="11"/>
        <v>#REF!</v>
      </c>
      <c r="G34" s="10" t="e">
        <f>#REF!</f>
        <v>#REF!</v>
      </c>
      <c r="H34" s="118" t="e">
        <f>G34-D34</f>
        <v>#REF!</v>
      </c>
      <c r="J34" s="10" t="e">
        <f>#REF!</f>
        <v>#REF!</v>
      </c>
      <c r="K34" s="118" t="e">
        <f>J34-G34</f>
        <v>#REF!</v>
      </c>
      <c r="M34" s="10" t="e">
        <f>#REF!</f>
        <v>#REF!</v>
      </c>
      <c r="N34" s="118" t="e">
        <f>M34-J34</f>
        <v>#REF!</v>
      </c>
    </row>
    <row r="35" spans="1:15" s="23" customFormat="1" x14ac:dyDescent="0.25">
      <c r="A35" s="21" t="s">
        <v>41</v>
      </c>
      <c r="B35" s="22" t="e">
        <f>SUM(B32:B34)</f>
        <v>#REF!</v>
      </c>
      <c r="C35" s="22" t="e">
        <f>SUM(C32:C34)</f>
        <v>#REF!</v>
      </c>
      <c r="D35" s="22" t="e">
        <f>SUM(D32:D34)</f>
        <v>#REF!</v>
      </c>
      <c r="E35" s="122" t="e">
        <f t="shared" ref="E35:O35" si="13">SUM(E32:E34)</f>
        <v>#REF!</v>
      </c>
      <c r="F35" s="122">
        <f t="shared" si="13"/>
        <v>0</v>
      </c>
      <c r="G35" s="22" t="e">
        <f>SUM(G32:G34)</f>
        <v>#REF!</v>
      </c>
      <c r="H35" s="122" t="e">
        <f t="shared" si="13"/>
        <v>#REF!</v>
      </c>
      <c r="I35" s="122">
        <f t="shared" si="13"/>
        <v>0</v>
      </c>
      <c r="J35" s="22" t="e">
        <f>SUM(J32:J34)</f>
        <v>#REF!</v>
      </c>
      <c r="K35" s="122" t="e">
        <f t="shared" si="13"/>
        <v>#REF!</v>
      </c>
      <c r="L35" s="122">
        <f t="shared" si="13"/>
        <v>0</v>
      </c>
      <c r="M35" s="22" t="e">
        <f>SUM(M32:M34)</f>
        <v>#REF!</v>
      </c>
      <c r="N35" s="122" t="e">
        <f t="shared" si="13"/>
        <v>#REF!</v>
      </c>
      <c r="O35" s="122">
        <f t="shared" si="13"/>
        <v>0</v>
      </c>
    </row>
    <row r="36" spans="1:15" x14ac:dyDescent="0.25">
      <c r="A36" s="9"/>
      <c r="B36" s="19"/>
      <c r="C36" s="19"/>
      <c r="D36" s="19"/>
      <c r="G36" s="19"/>
      <c r="J36" s="19"/>
      <c r="M36" s="19"/>
    </row>
    <row r="37" spans="1:15" x14ac:dyDescent="0.25">
      <c r="A37" s="9" t="s">
        <v>42</v>
      </c>
      <c r="B37" s="19"/>
      <c r="C37" s="19"/>
      <c r="D37" s="19"/>
      <c r="G37" s="19"/>
      <c r="J37" s="19"/>
      <c r="M37" s="19"/>
    </row>
    <row r="38" spans="1:15" x14ac:dyDescent="0.25">
      <c r="A38" s="48" t="s">
        <v>43</v>
      </c>
      <c r="B38" s="10" t="e">
        <f>#REF!</f>
        <v>#REF!</v>
      </c>
      <c r="C38" s="10" t="e">
        <f>#REF!</f>
        <v>#REF!</v>
      </c>
      <c r="D38" s="10" t="e">
        <f>#REF!</f>
        <v>#REF!</v>
      </c>
      <c r="E38" s="118" t="e">
        <f>D38-C38</f>
        <v>#REF!</v>
      </c>
      <c r="G38" s="10" t="e">
        <f>#REF!</f>
        <v>#REF!</v>
      </c>
      <c r="H38" s="118" t="e">
        <f>G38-D38</f>
        <v>#REF!</v>
      </c>
      <c r="J38" s="10" t="e">
        <f>#REF!</f>
        <v>#REF!</v>
      </c>
      <c r="K38" s="118" t="e">
        <f>J38-G38</f>
        <v>#REF!</v>
      </c>
      <c r="M38" s="10" t="e">
        <f>#REF!</f>
        <v>#REF!</v>
      </c>
      <c r="N38" s="118" t="e">
        <f>M38-J38</f>
        <v>#REF!</v>
      </c>
    </row>
    <row r="39" spans="1:15" x14ac:dyDescent="0.25">
      <c r="A39" s="48" t="s">
        <v>44</v>
      </c>
      <c r="B39" s="10" t="e">
        <f>#REF!</f>
        <v>#REF!</v>
      </c>
      <c r="C39" s="10" t="e">
        <f>#REF!</f>
        <v>#REF!</v>
      </c>
      <c r="D39" s="10" t="e">
        <f>#REF!</f>
        <v>#REF!</v>
      </c>
      <c r="E39" s="118" t="e">
        <f>D39-C39</f>
        <v>#REF!</v>
      </c>
      <c r="G39" s="10" t="e">
        <f>#REF!</f>
        <v>#REF!</v>
      </c>
      <c r="H39" s="118" t="e">
        <f>G39-D39</f>
        <v>#REF!</v>
      </c>
      <c r="J39" s="10" t="e">
        <f>#REF!</f>
        <v>#REF!</v>
      </c>
      <c r="K39" s="118" t="e">
        <f>J39-G39</f>
        <v>#REF!</v>
      </c>
      <c r="M39" s="10" t="e">
        <f>#REF!</f>
        <v>#REF!</v>
      </c>
      <c r="N39" s="118" t="e">
        <f>M39-J39</f>
        <v>#REF!</v>
      </c>
    </row>
    <row r="40" spans="1:15" s="23" customFormat="1" x14ac:dyDescent="0.25">
      <c r="A40" s="21" t="s">
        <v>45</v>
      </c>
      <c r="B40" s="22" t="e">
        <f>SUM(B38:B39)</f>
        <v>#REF!</v>
      </c>
      <c r="C40" s="22" t="e">
        <f>SUM(C38:C39)</f>
        <v>#REF!</v>
      </c>
      <c r="D40" s="22" t="e">
        <f>SUM(D38:D39)</f>
        <v>#REF!</v>
      </c>
      <c r="E40" s="122" t="e">
        <f t="shared" ref="E40:O40" si="14">SUM(E38:E39)</f>
        <v>#REF!</v>
      </c>
      <c r="F40" s="122">
        <f t="shared" si="14"/>
        <v>0</v>
      </c>
      <c r="G40" s="22" t="e">
        <f>SUM(G38:G39)</f>
        <v>#REF!</v>
      </c>
      <c r="H40" s="122" t="e">
        <f t="shared" si="14"/>
        <v>#REF!</v>
      </c>
      <c r="I40" s="122">
        <f t="shared" si="14"/>
        <v>0</v>
      </c>
      <c r="J40" s="22" t="e">
        <f>SUM(J38:J39)</f>
        <v>#REF!</v>
      </c>
      <c r="K40" s="122" t="e">
        <f t="shared" si="14"/>
        <v>#REF!</v>
      </c>
      <c r="L40" s="122">
        <f t="shared" si="14"/>
        <v>0</v>
      </c>
      <c r="M40" s="22" t="e">
        <f>SUM(M38:M39)</f>
        <v>#REF!</v>
      </c>
      <c r="N40" s="122" t="e">
        <f t="shared" si="14"/>
        <v>#REF!</v>
      </c>
      <c r="O40" s="122">
        <f t="shared" si="14"/>
        <v>0</v>
      </c>
    </row>
    <row r="41" spans="1:15" x14ac:dyDescent="0.25">
      <c r="A41" s="9"/>
      <c r="B41" s="19"/>
      <c r="C41" s="19"/>
      <c r="D41" s="19"/>
      <c r="G41" s="19"/>
      <c r="J41" s="19"/>
      <c r="M41" s="19"/>
    </row>
    <row r="42" spans="1:15" x14ac:dyDescent="0.25">
      <c r="A42" s="9" t="s">
        <v>46</v>
      </c>
      <c r="B42" s="19"/>
      <c r="C42" s="19"/>
      <c r="D42" s="19"/>
      <c r="G42" s="19"/>
      <c r="J42" s="19"/>
      <c r="M42" s="19"/>
    </row>
    <row r="43" spans="1:15" x14ac:dyDescent="0.25">
      <c r="A43" s="48" t="s">
        <v>47</v>
      </c>
      <c r="B43" s="10" t="e">
        <f>#REF!</f>
        <v>#REF!</v>
      </c>
      <c r="C43" s="10" t="e">
        <f>#REF!</f>
        <v>#REF!</v>
      </c>
      <c r="D43" s="10" t="e">
        <f>#REF!</f>
        <v>#REF!</v>
      </c>
      <c r="E43" s="118" t="e">
        <f t="shared" ref="E43:E52" si="15">D43-C43</f>
        <v>#REF!</v>
      </c>
      <c r="G43" s="10" t="e">
        <f>#REF!</f>
        <v>#REF!</v>
      </c>
      <c r="H43" s="118" t="e">
        <f t="shared" ref="H43:H52" si="16">G43-D43</f>
        <v>#REF!</v>
      </c>
      <c r="J43" s="10" t="e">
        <f>#REF!</f>
        <v>#REF!</v>
      </c>
      <c r="K43" s="118" t="e">
        <f t="shared" ref="K43:K52" si="17">J43-G43</f>
        <v>#REF!</v>
      </c>
      <c r="M43" s="10" t="e">
        <f>#REF!</f>
        <v>#REF!</v>
      </c>
      <c r="N43" s="118" t="e">
        <f t="shared" ref="N43:N52" si="18">M43-J43</f>
        <v>#REF!</v>
      </c>
    </row>
    <row r="44" spans="1:15" x14ac:dyDescent="0.25">
      <c r="A44" s="48" t="s">
        <v>48</v>
      </c>
      <c r="B44" s="10" t="e">
        <f>#REF!</f>
        <v>#REF!</v>
      </c>
      <c r="C44" s="10" t="e">
        <f>#REF!</f>
        <v>#REF!</v>
      </c>
      <c r="D44" s="10" t="e">
        <f>#REF!</f>
        <v>#REF!</v>
      </c>
      <c r="E44" s="118" t="e">
        <f t="shared" si="15"/>
        <v>#REF!</v>
      </c>
      <c r="G44" s="10" t="e">
        <f>#REF!</f>
        <v>#REF!</v>
      </c>
      <c r="H44" s="118" t="e">
        <f t="shared" si="16"/>
        <v>#REF!</v>
      </c>
      <c r="J44" s="10" t="e">
        <f>#REF!</f>
        <v>#REF!</v>
      </c>
      <c r="K44" s="118" t="e">
        <f t="shared" si="17"/>
        <v>#REF!</v>
      </c>
      <c r="M44" s="10" t="e">
        <f>#REF!</f>
        <v>#REF!</v>
      </c>
      <c r="N44" s="118" t="e">
        <f t="shared" si="18"/>
        <v>#REF!</v>
      </c>
    </row>
    <row r="45" spans="1:15" x14ac:dyDescent="0.25">
      <c r="A45" s="48" t="s">
        <v>49</v>
      </c>
      <c r="B45" s="10" t="e">
        <f>#REF!</f>
        <v>#REF!</v>
      </c>
      <c r="C45" s="10" t="e">
        <f>#REF!</f>
        <v>#REF!</v>
      </c>
      <c r="D45" s="10" t="e">
        <f>#REF!</f>
        <v>#REF!</v>
      </c>
      <c r="E45" s="118" t="e">
        <f t="shared" si="15"/>
        <v>#REF!</v>
      </c>
      <c r="G45" s="10" t="e">
        <f>#REF!</f>
        <v>#REF!</v>
      </c>
      <c r="H45" s="118" t="e">
        <f t="shared" si="16"/>
        <v>#REF!</v>
      </c>
      <c r="J45" s="10" t="e">
        <f>#REF!</f>
        <v>#REF!</v>
      </c>
      <c r="K45" s="118" t="e">
        <f t="shared" si="17"/>
        <v>#REF!</v>
      </c>
      <c r="M45" s="10" t="e">
        <f>#REF!</f>
        <v>#REF!</v>
      </c>
      <c r="N45" s="118" t="e">
        <f t="shared" si="18"/>
        <v>#REF!</v>
      </c>
    </row>
    <row r="46" spans="1:15" x14ac:dyDescent="0.25">
      <c r="A46" s="48" t="s">
        <v>50</v>
      </c>
      <c r="B46" s="10" t="e">
        <f>#REF!</f>
        <v>#REF!</v>
      </c>
      <c r="C46" s="10" t="e">
        <f>#REF!</f>
        <v>#REF!</v>
      </c>
      <c r="D46" s="10" t="e">
        <f>#REF!</f>
        <v>#REF!</v>
      </c>
      <c r="E46" s="118" t="e">
        <f t="shared" si="15"/>
        <v>#REF!</v>
      </c>
      <c r="G46" s="10" t="e">
        <f>#REF!</f>
        <v>#REF!</v>
      </c>
      <c r="H46" s="118" t="e">
        <f t="shared" si="16"/>
        <v>#REF!</v>
      </c>
      <c r="J46" s="10" t="e">
        <f>#REF!</f>
        <v>#REF!</v>
      </c>
      <c r="K46" s="118" t="e">
        <f t="shared" si="17"/>
        <v>#REF!</v>
      </c>
      <c r="M46" s="10" t="e">
        <f>#REF!</f>
        <v>#REF!</v>
      </c>
      <c r="N46" s="118" t="e">
        <f t="shared" si="18"/>
        <v>#REF!</v>
      </c>
    </row>
    <row r="47" spans="1:15" x14ac:dyDescent="0.25">
      <c r="A47" s="48" t="s">
        <v>51</v>
      </c>
      <c r="B47" s="10" t="e">
        <f>#REF!</f>
        <v>#REF!</v>
      </c>
      <c r="C47" s="10" t="e">
        <f>#REF!</f>
        <v>#REF!</v>
      </c>
      <c r="D47" s="10" t="e">
        <f>#REF!</f>
        <v>#REF!</v>
      </c>
      <c r="E47" s="118" t="e">
        <f t="shared" si="15"/>
        <v>#REF!</v>
      </c>
      <c r="G47" s="10" t="e">
        <f>#REF!</f>
        <v>#REF!</v>
      </c>
      <c r="H47" s="118" t="e">
        <f t="shared" si="16"/>
        <v>#REF!</v>
      </c>
      <c r="J47" s="10" t="e">
        <f>#REF!</f>
        <v>#REF!</v>
      </c>
      <c r="K47" s="118" t="e">
        <f t="shared" si="17"/>
        <v>#REF!</v>
      </c>
      <c r="M47" s="10" t="e">
        <f>#REF!</f>
        <v>#REF!</v>
      </c>
      <c r="N47" s="118" t="e">
        <f t="shared" si="18"/>
        <v>#REF!</v>
      </c>
    </row>
    <row r="48" spans="1:15" x14ac:dyDescent="0.25">
      <c r="A48" s="48" t="s">
        <v>52</v>
      </c>
      <c r="B48" s="10" t="e">
        <f>#REF!</f>
        <v>#REF!</v>
      </c>
      <c r="C48" s="10" t="e">
        <f>#REF!</f>
        <v>#REF!</v>
      </c>
      <c r="D48" s="10" t="e">
        <f>#REF!</f>
        <v>#REF!</v>
      </c>
      <c r="E48" s="118" t="e">
        <f t="shared" si="15"/>
        <v>#REF!</v>
      </c>
      <c r="G48" s="10" t="e">
        <f>#REF!</f>
        <v>#REF!</v>
      </c>
      <c r="H48" s="118" t="e">
        <f t="shared" si="16"/>
        <v>#REF!</v>
      </c>
      <c r="J48" s="10" t="e">
        <f>#REF!</f>
        <v>#REF!</v>
      </c>
      <c r="K48" s="118" t="e">
        <f t="shared" si="17"/>
        <v>#REF!</v>
      </c>
      <c r="M48" s="10" t="e">
        <f>#REF!</f>
        <v>#REF!</v>
      </c>
      <c r="N48" s="118" t="e">
        <f t="shared" si="18"/>
        <v>#REF!</v>
      </c>
    </row>
    <row r="49" spans="1:15" x14ac:dyDescent="0.25">
      <c r="A49" s="48" t="s">
        <v>53</v>
      </c>
      <c r="B49" s="10" t="e">
        <f>#REF!</f>
        <v>#REF!</v>
      </c>
      <c r="C49" s="10" t="e">
        <f>#REF!</f>
        <v>#REF!</v>
      </c>
      <c r="D49" s="10" t="e">
        <f>#REF!</f>
        <v>#REF!</v>
      </c>
      <c r="E49" s="118" t="e">
        <f t="shared" si="15"/>
        <v>#REF!</v>
      </c>
      <c r="G49" s="10" t="e">
        <f>#REF!</f>
        <v>#REF!</v>
      </c>
      <c r="H49" s="118" t="e">
        <f t="shared" si="16"/>
        <v>#REF!</v>
      </c>
      <c r="J49" s="10" t="e">
        <f>#REF!</f>
        <v>#REF!</v>
      </c>
      <c r="K49" s="118" t="e">
        <f t="shared" si="17"/>
        <v>#REF!</v>
      </c>
      <c r="M49" s="10" t="e">
        <f>#REF!</f>
        <v>#REF!</v>
      </c>
      <c r="N49" s="118" t="e">
        <f t="shared" si="18"/>
        <v>#REF!</v>
      </c>
    </row>
    <row r="50" spans="1:15" x14ac:dyDescent="0.25">
      <c r="A50" s="60" t="s">
        <v>54</v>
      </c>
      <c r="B50" s="10" t="e">
        <f>#REF!</f>
        <v>#REF!</v>
      </c>
      <c r="C50" s="10" t="e">
        <f>#REF!</f>
        <v>#REF!</v>
      </c>
      <c r="D50" s="10" t="e">
        <f>#REF!</f>
        <v>#REF!</v>
      </c>
      <c r="E50" s="118" t="e">
        <f t="shared" si="15"/>
        <v>#REF!</v>
      </c>
      <c r="G50" s="10" t="e">
        <f>#REF!</f>
        <v>#REF!</v>
      </c>
      <c r="H50" s="118" t="e">
        <f t="shared" si="16"/>
        <v>#REF!</v>
      </c>
      <c r="J50" s="10" t="e">
        <f>#REF!</f>
        <v>#REF!</v>
      </c>
      <c r="K50" s="118" t="e">
        <f t="shared" si="17"/>
        <v>#REF!</v>
      </c>
      <c r="M50" s="10" t="e">
        <f>#REF!</f>
        <v>#REF!</v>
      </c>
      <c r="N50" s="118" t="e">
        <f t="shared" si="18"/>
        <v>#REF!</v>
      </c>
    </row>
    <row r="51" spans="1:15" x14ac:dyDescent="0.25">
      <c r="A51" s="60" t="s">
        <v>55</v>
      </c>
      <c r="B51" s="10" t="e">
        <f>#REF!</f>
        <v>#REF!</v>
      </c>
      <c r="C51" s="10" t="e">
        <f>#REF!</f>
        <v>#REF!</v>
      </c>
      <c r="D51" s="10" t="e">
        <f>#REF!</f>
        <v>#REF!</v>
      </c>
      <c r="E51" s="118" t="e">
        <f t="shared" si="15"/>
        <v>#REF!</v>
      </c>
      <c r="G51" s="10" t="e">
        <f>#REF!</f>
        <v>#REF!</v>
      </c>
      <c r="H51" s="118" t="e">
        <f t="shared" si="16"/>
        <v>#REF!</v>
      </c>
      <c r="J51" s="10" t="e">
        <f>#REF!</f>
        <v>#REF!</v>
      </c>
      <c r="K51" s="118" t="e">
        <f t="shared" si="17"/>
        <v>#REF!</v>
      </c>
      <c r="M51" s="10" t="e">
        <f>#REF!</f>
        <v>#REF!</v>
      </c>
      <c r="N51" s="118" t="e">
        <f t="shared" si="18"/>
        <v>#REF!</v>
      </c>
    </row>
    <row r="52" spans="1:15" x14ac:dyDescent="0.25">
      <c r="A52" s="48" t="s">
        <v>56</v>
      </c>
      <c r="B52" s="10" t="e">
        <f>#REF!</f>
        <v>#REF!</v>
      </c>
      <c r="C52" s="10" t="e">
        <f>#REF!</f>
        <v>#REF!</v>
      </c>
      <c r="D52" s="10" t="e">
        <f>#REF!</f>
        <v>#REF!</v>
      </c>
      <c r="E52" s="118" t="e">
        <f t="shared" si="15"/>
        <v>#REF!</v>
      </c>
      <c r="G52" s="10" t="e">
        <f>#REF!</f>
        <v>#REF!</v>
      </c>
      <c r="H52" s="118" t="e">
        <f t="shared" si="16"/>
        <v>#REF!</v>
      </c>
      <c r="J52" s="10" t="e">
        <f>#REF!</f>
        <v>#REF!</v>
      </c>
      <c r="K52" s="118" t="e">
        <f t="shared" si="17"/>
        <v>#REF!</v>
      </c>
      <c r="M52" s="10" t="e">
        <f>#REF!</f>
        <v>#REF!</v>
      </c>
      <c r="N52" s="118" t="e">
        <f t="shared" si="18"/>
        <v>#REF!</v>
      </c>
    </row>
    <row r="53" spans="1:15" s="23" customFormat="1" x14ac:dyDescent="0.25">
      <c r="A53" s="21" t="s">
        <v>57</v>
      </c>
      <c r="B53" s="22" t="e">
        <f>SUM(B43:B52)</f>
        <v>#REF!</v>
      </c>
      <c r="C53" s="22" t="e">
        <f>SUM(C43:C52)</f>
        <v>#REF!</v>
      </c>
      <c r="D53" s="22" t="e">
        <f>SUM(D43:D52)</f>
        <v>#REF!</v>
      </c>
      <c r="E53" s="122" t="e">
        <f t="shared" ref="E53:O53" si="19">SUM(E43:E52)</f>
        <v>#REF!</v>
      </c>
      <c r="F53" s="122">
        <f t="shared" si="19"/>
        <v>0</v>
      </c>
      <c r="G53" s="22" t="e">
        <f>SUM(G43:G52)</f>
        <v>#REF!</v>
      </c>
      <c r="H53" s="122" t="e">
        <f t="shared" si="19"/>
        <v>#REF!</v>
      </c>
      <c r="I53" s="122">
        <f t="shared" si="19"/>
        <v>0</v>
      </c>
      <c r="J53" s="22" t="e">
        <f>SUM(J43:J52)</f>
        <v>#REF!</v>
      </c>
      <c r="K53" s="122" t="e">
        <f t="shared" si="19"/>
        <v>#REF!</v>
      </c>
      <c r="L53" s="122">
        <f t="shared" si="19"/>
        <v>0</v>
      </c>
      <c r="M53" s="22" t="e">
        <f>SUM(M43:M52)</f>
        <v>#REF!</v>
      </c>
      <c r="N53" s="122" t="e">
        <f t="shared" si="19"/>
        <v>#REF!</v>
      </c>
      <c r="O53" s="122">
        <f t="shared" si="19"/>
        <v>0</v>
      </c>
    </row>
    <row r="54" spans="1:15" x14ac:dyDescent="0.25">
      <c r="A54" s="9"/>
      <c r="B54" s="19"/>
      <c r="C54" s="19"/>
      <c r="D54" s="19"/>
      <c r="G54" s="19"/>
      <c r="J54" s="19"/>
      <c r="M54" s="19"/>
    </row>
    <row r="55" spans="1:15" x14ac:dyDescent="0.25">
      <c r="A55" s="9" t="s">
        <v>58</v>
      </c>
      <c r="B55" s="19"/>
      <c r="C55" s="19"/>
      <c r="D55" s="19"/>
      <c r="G55" s="19"/>
      <c r="J55" s="19"/>
      <c r="M55" s="19"/>
    </row>
    <row r="56" spans="1:15" x14ac:dyDescent="0.25">
      <c r="A56" s="48" t="s">
        <v>59</v>
      </c>
      <c r="B56" s="10" t="e">
        <f>#REF!</f>
        <v>#REF!</v>
      </c>
      <c r="C56" s="10" t="e">
        <f>#REF!</f>
        <v>#REF!</v>
      </c>
      <c r="D56" s="10" t="e">
        <f>#REF!</f>
        <v>#REF!</v>
      </c>
      <c r="E56" s="118" t="e">
        <f>D56-C56</f>
        <v>#REF!</v>
      </c>
      <c r="G56" s="10" t="e">
        <f>#REF!</f>
        <v>#REF!</v>
      </c>
      <c r="H56" s="118" t="e">
        <f>G56-D56</f>
        <v>#REF!</v>
      </c>
      <c r="J56" s="10" t="e">
        <f>#REF!</f>
        <v>#REF!</v>
      </c>
      <c r="K56" s="118" t="e">
        <f>J56-G56</f>
        <v>#REF!</v>
      </c>
      <c r="M56" s="10" t="e">
        <f>#REF!</f>
        <v>#REF!</v>
      </c>
      <c r="N56" s="118" t="e">
        <f>M56-J56</f>
        <v>#REF!</v>
      </c>
    </row>
    <row r="57" spans="1:15" x14ac:dyDescent="0.25">
      <c r="A57" s="48" t="s">
        <v>60</v>
      </c>
      <c r="B57" s="10" t="e">
        <f>#REF!</f>
        <v>#REF!</v>
      </c>
      <c r="C57" s="10" t="e">
        <f>#REF!</f>
        <v>#REF!</v>
      </c>
      <c r="D57" s="10" t="e">
        <f>#REF!</f>
        <v>#REF!</v>
      </c>
      <c r="E57" s="118" t="e">
        <f>D57-C57</f>
        <v>#REF!</v>
      </c>
      <c r="G57" s="10" t="e">
        <f>#REF!</f>
        <v>#REF!</v>
      </c>
      <c r="H57" s="118" t="e">
        <f>G57-D57</f>
        <v>#REF!</v>
      </c>
      <c r="J57" s="10" t="e">
        <f>#REF!</f>
        <v>#REF!</v>
      </c>
      <c r="K57" s="118" t="e">
        <f>J57-G57</f>
        <v>#REF!</v>
      </c>
      <c r="M57" s="10" t="e">
        <f>#REF!</f>
        <v>#REF!</v>
      </c>
      <c r="N57" s="118" t="e">
        <f>M57-J57</f>
        <v>#REF!</v>
      </c>
    </row>
    <row r="58" spans="1:15" x14ac:dyDescent="0.25">
      <c r="A58" s="48" t="s">
        <v>61</v>
      </c>
      <c r="B58" s="10" t="e">
        <f>#REF!</f>
        <v>#REF!</v>
      </c>
      <c r="C58" s="10" t="e">
        <f>#REF!</f>
        <v>#REF!</v>
      </c>
      <c r="D58" s="10" t="e">
        <f>#REF!</f>
        <v>#REF!</v>
      </c>
      <c r="E58" s="118" t="e">
        <f>D58-C58</f>
        <v>#REF!</v>
      </c>
      <c r="G58" s="10" t="e">
        <f>#REF!</f>
        <v>#REF!</v>
      </c>
      <c r="H58" s="118" t="e">
        <f>G58-D58</f>
        <v>#REF!</v>
      </c>
      <c r="J58" s="10" t="e">
        <f>#REF!</f>
        <v>#REF!</v>
      </c>
      <c r="K58" s="118" t="e">
        <f>J58-G58</f>
        <v>#REF!</v>
      </c>
      <c r="M58" s="10" t="e">
        <f>#REF!</f>
        <v>#REF!</v>
      </c>
      <c r="N58" s="118" t="e">
        <f>M58-J58</f>
        <v>#REF!</v>
      </c>
    </row>
    <row r="59" spans="1:15" x14ac:dyDescent="0.25">
      <c r="A59" s="48" t="s">
        <v>62</v>
      </c>
      <c r="B59" s="10" t="e">
        <f>#REF!</f>
        <v>#REF!</v>
      </c>
      <c r="C59" s="10" t="e">
        <f>#REF!</f>
        <v>#REF!</v>
      </c>
      <c r="D59" s="10" t="e">
        <f>#REF!</f>
        <v>#REF!</v>
      </c>
      <c r="E59" s="118" t="e">
        <f>D59-C59</f>
        <v>#REF!</v>
      </c>
      <c r="G59" s="10" t="e">
        <f>#REF!</f>
        <v>#REF!</v>
      </c>
      <c r="H59" s="118" t="e">
        <f>G59-D59</f>
        <v>#REF!</v>
      </c>
      <c r="J59" s="10" t="e">
        <f>#REF!</f>
        <v>#REF!</v>
      </c>
      <c r="K59" s="118" t="e">
        <f>J59-G59</f>
        <v>#REF!</v>
      </c>
      <c r="M59" s="10" t="e">
        <f>#REF!</f>
        <v>#REF!</v>
      </c>
      <c r="N59" s="118" t="e">
        <f>M59-J59</f>
        <v>#REF!</v>
      </c>
    </row>
    <row r="60" spans="1:15" x14ac:dyDescent="0.25">
      <c r="A60" s="48" t="s">
        <v>63</v>
      </c>
      <c r="B60" s="10"/>
      <c r="C60" s="10" t="e">
        <f>#REF!</f>
        <v>#REF!</v>
      </c>
      <c r="D60" s="10" t="e">
        <f>#REF!</f>
        <v>#REF!</v>
      </c>
      <c r="E60" s="118" t="e">
        <f>D60-C60</f>
        <v>#REF!</v>
      </c>
      <c r="G60" s="10" t="e">
        <f>#REF!</f>
        <v>#REF!</v>
      </c>
      <c r="H60" s="118" t="e">
        <f>G60-D60</f>
        <v>#REF!</v>
      </c>
      <c r="J60" s="10" t="e">
        <f>#REF!</f>
        <v>#REF!</v>
      </c>
      <c r="K60" s="118" t="e">
        <f>J60-G60</f>
        <v>#REF!</v>
      </c>
      <c r="M60" s="10" t="e">
        <f>#REF!</f>
        <v>#REF!</v>
      </c>
      <c r="N60" s="118" t="e">
        <f>M60-J60</f>
        <v>#REF!</v>
      </c>
    </row>
    <row r="61" spans="1:15" s="23" customFormat="1" x14ac:dyDescent="0.25">
      <c r="A61" s="21" t="s">
        <v>64</v>
      </c>
      <c r="B61" s="22" t="e">
        <f>SUM(B56:B60)</f>
        <v>#REF!</v>
      </c>
      <c r="C61" s="22" t="e">
        <f>SUM(C56:C60)</f>
        <v>#REF!</v>
      </c>
      <c r="D61" s="22" t="e">
        <f>SUM(D56:D60)</f>
        <v>#REF!</v>
      </c>
      <c r="E61" s="122" t="e">
        <f t="shared" ref="E61:O61" si="20">SUM(E56:E60)</f>
        <v>#REF!</v>
      </c>
      <c r="F61" s="122">
        <f t="shared" si="20"/>
        <v>0</v>
      </c>
      <c r="G61" s="22" t="e">
        <f>SUM(G56:G60)</f>
        <v>#REF!</v>
      </c>
      <c r="H61" s="122" t="e">
        <f t="shared" si="20"/>
        <v>#REF!</v>
      </c>
      <c r="I61" s="122">
        <f t="shared" si="20"/>
        <v>0</v>
      </c>
      <c r="J61" s="22" t="e">
        <f>SUM(J56:J60)</f>
        <v>#REF!</v>
      </c>
      <c r="K61" s="122" t="e">
        <f t="shared" si="20"/>
        <v>#REF!</v>
      </c>
      <c r="L61" s="122">
        <f t="shared" si="20"/>
        <v>0</v>
      </c>
      <c r="M61" s="22" t="e">
        <f>SUM(M56:M60)</f>
        <v>#REF!</v>
      </c>
      <c r="N61" s="122" t="e">
        <f t="shared" si="20"/>
        <v>#REF!</v>
      </c>
      <c r="O61" s="122">
        <f t="shared" si="20"/>
        <v>0</v>
      </c>
    </row>
    <row r="62" spans="1:15" x14ac:dyDescent="0.25">
      <c r="A62" s="9"/>
      <c r="B62" s="19"/>
      <c r="C62" s="19"/>
      <c r="D62" s="19"/>
      <c r="G62" s="19"/>
      <c r="J62" s="19"/>
      <c r="M62" s="19"/>
    </row>
    <row r="63" spans="1:15" x14ac:dyDescent="0.25">
      <c r="A63" s="48" t="s">
        <v>206</v>
      </c>
      <c r="B63" s="19"/>
      <c r="C63" s="19"/>
      <c r="D63" s="19"/>
      <c r="G63" s="19"/>
      <c r="J63" s="19"/>
      <c r="M63" s="19"/>
    </row>
    <row r="64" spans="1:15" x14ac:dyDescent="0.25">
      <c r="A64" s="48" t="s">
        <v>207</v>
      </c>
      <c r="B64" s="19"/>
      <c r="C64" s="19"/>
      <c r="D64" s="19"/>
      <c r="G64" s="19"/>
      <c r="J64" s="19"/>
      <c r="M64" s="19"/>
    </row>
    <row r="65" spans="1:15" x14ac:dyDescent="0.25">
      <c r="A65" s="24" t="s">
        <v>65</v>
      </c>
      <c r="B65" s="10" t="e">
        <f>#REF!</f>
        <v>#REF!</v>
      </c>
      <c r="C65" s="10" t="e">
        <f>#REF!</f>
        <v>#REF!</v>
      </c>
      <c r="D65" s="10" t="e">
        <f>#REF!</f>
        <v>#REF!</v>
      </c>
      <c r="E65" s="141" t="e">
        <f>D65-C65</f>
        <v>#REF!</v>
      </c>
      <c r="F65" s="147"/>
      <c r="G65" s="10" t="e">
        <f>#REF!</f>
        <v>#REF!</v>
      </c>
      <c r="H65" s="141" t="e">
        <f>G65-D65</f>
        <v>#REF!</v>
      </c>
      <c r="I65" s="147"/>
      <c r="J65" s="10" t="e">
        <f>#REF!</f>
        <v>#REF!</v>
      </c>
      <c r="K65" s="141" t="e">
        <f>J65-G65</f>
        <v>#REF!</v>
      </c>
      <c r="L65" s="147"/>
      <c r="M65" s="10" t="e">
        <f>#REF!</f>
        <v>#REF!</v>
      </c>
      <c r="N65" s="141" t="e">
        <f>M65-J65</f>
        <v>#REF!</v>
      </c>
      <c r="O65" s="147"/>
    </row>
    <row r="66" spans="1:15" x14ac:dyDescent="0.25">
      <c r="A66" s="24" t="s">
        <v>2649</v>
      </c>
      <c r="B66" s="10" t="e">
        <f>#REF!</f>
        <v>#REF!</v>
      </c>
      <c r="C66" s="10" t="e">
        <f>#REF!</f>
        <v>#REF!</v>
      </c>
      <c r="D66" s="10" t="e">
        <f>#REF!</f>
        <v>#REF!</v>
      </c>
      <c r="E66" s="141" t="e">
        <f>D66-C66</f>
        <v>#REF!</v>
      </c>
      <c r="F66" s="147"/>
      <c r="G66" s="10" t="e">
        <f>#REF!</f>
        <v>#REF!</v>
      </c>
      <c r="H66" s="141" t="e">
        <f>G66-D66</f>
        <v>#REF!</v>
      </c>
      <c r="I66" s="147"/>
      <c r="J66" s="10" t="e">
        <f>#REF!</f>
        <v>#REF!</v>
      </c>
      <c r="K66" s="141" t="e">
        <f>J66-G66</f>
        <v>#REF!</v>
      </c>
      <c r="L66" s="147"/>
      <c r="M66" s="10" t="e">
        <f>#REF!</f>
        <v>#REF!</v>
      </c>
      <c r="N66" s="141" t="e">
        <f>M66-J66</f>
        <v>#REF!</v>
      </c>
      <c r="O66" s="147"/>
    </row>
    <row r="67" spans="1:15" s="23" customFormat="1" x14ac:dyDescent="0.25">
      <c r="A67" s="21" t="s">
        <v>67</v>
      </c>
      <c r="B67" s="22" t="e">
        <f>B66+B65+B61+B53+B40+B35</f>
        <v>#REF!</v>
      </c>
      <c r="C67" s="22" t="e">
        <f>C66+C65+C61+C53+C40+C35</f>
        <v>#REF!</v>
      </c>
      <c r="D67" s="22" t="e">
        <f>D66+D65+D61+D53+D40+D35</f>
        <v>#REF!</v>
      </c>
      <c r="E67" s="122" t="e">
        <f t="shared" ref="E67:O67" si="21">E66+E65+E61+E53+E40+E35</f>
        <v>#REF!</v>
      </c>
      <c r="F67" s="122">
        <f t="shared" si="21"/>
        <v>0</v>
      </c>
      <c r="G67" s="22" t="e">
        <f>G66+G65+G61+G53+G40+G35</f>
        <v>#REF!</v>
      </c>
      <c r="H67" s="122" t="e">
        <f t="shared" si="21"/>
        <v>#REF!</v>
      </c>
      <c r="I67" s="122">
        <f t="shared" si="21"/>
        <v>0</v>
      </c>
      <c r="J67" s="22" t="e">
        <f>J66+J65+J61+J53+J40+J35</f>
        <v>#REF!</v>
      </c>
      <c r="K67" s="122" t="e">
        <f t="shared" si="21"/>
        <v>#REF!</v>
      </c>
      <c r="L67" s="122">
        <f t="shared" si="21"/>
        <v>0</v>
      </c>
      <c r="M67" s="22" t="e">
        <f>M66+M65+M61+M53+M40+M35</f>
        <v>#REF!</v>
      </c>
      <c r="N67" s="122" t="e">
        <f t="shared" si="21"/>
        <v>#REF!</v>
      </c>
      <c r="O67" s="122">
        <f t="shared" si="21"/>
        <v>0</v>
      </c>
    </row>
    <row r="68" spans="1:15" x14ac:dyDescent="0.25">
      <c r="A68" s="9"/>
      <c r="B68" s="19"/>
      <c r="C68" s="19"/>
      <c r="D68" s="19"/>
      <c r="G68" s="19"/>
      <c r="J68" s="19"/>
      <c r="M68" s="19"/>
    </row>
    <row r="69" spans="1:15" ht="27.6" x14ac:dyDescent="0.25">
      <c r="A69" s="26" t="s">
        <v>68</v>
      </c>
      <c r="B69" s="18" t="e">
        <f>B25-B67</f>
        <v>#REF!</v>
      </c>
      <c r="C69" s="18" t="e">
        <f>C25-C67</f>
        <v>#REF!</v>
      </c>
      <c r="D69" s="18" t="e">
        <f>D25-D67</f>
        <v>#REF!</v>
      </c>
      <c r="E69" s="145" t="e">
        <f t="shared" ref="E69:O69" si="22">E25-E67</f>
        <v>#REF!</v>
      </c>
      <c r="F69" s="145">
        <f t="shared" si="22"/>
        <v>0</v>
      </c>
      <c r="G69" s="18" t="e">
        <f>G25-G67</f>
        <v>#REF!</v>
      </c>
      <c r="H69" s="145" t="e">
        <f t="shared" si="22"/>
        <v>#REF!</v>
      </c>
      <c r="I69" s="145">
        <f t="shared" si="22"/>
        <v>0</v>
      </c>
      <c r="J69" s="18" t="e">
        <f>J25-J67</f>
        <v>#REF!</v>
      </c>
      <c r="K69" s="145" t="e">
        <f t="shared" si="22"/>
        <v>#REF!</v>
      </c>
      <c r="L69" s="145">
        <f t="shared" si="22"/>
        <v>0</v>
      </c>
      <c r="M69" s="18" t="e">
        <f>M25-M67</f>
        <v>#REF!</v>
      </c>
      <c r="N69" s="145" t="e">
        <f t="shared" si="22"/>
        <v>#REF!</v>
      </c>
      <c r="O69" s="145">
        <f t="shared" si="22"/>
        <v>0</v>
      </c>
    </row>
    <row r="70" spans="1:15" hidden="1" outlineLevel="1" x14ac:dyDescent="0.25">
      <c r="A70" s="27" t="s">
        <v>69</v>
      </c>
      <c r="D70" s="11"/>
      <c r="E70" s="118"/>
      <c r="F70" s="118"/>
      <c r="G70" s="11"/>
      <c r="H70" s="118"/>
      <c r="I70" s="118"/>
      <c r="J70" s="11"/>
      <c r="K70" s="118"/>
      <c r="L70" s="118"/>
      <c r="M70" s="11"/>
      <c r="N70" s="118"/>
      <c r="O70" s="118"/>
    </row>
    <row r="71" spans="1:15" hidden="1" outlineLevel="1" x14ac:dyDescent="0.25">
      <c r="A71" s="13" t="s">
        <v>70</v>
      </c>
      <c r="D71" s="11"/>
      <c r="E71" s="118"/>
      <c r="F71" s="118"/>
      <c r="G71" s="11"/>
      <c r="H71" s="118"/>
      <c r="I71" s="118"/>
      <c r="J71" s="11"/>
      <c r="K71" s="118"/>
      <c r="L71" s="118"/>
      <c r="M71" s="11"/>
      <c r="N71" s="118"/>
      <c r="O71" s="118"/>
    </row>
    <row r="72" spans="1:15" hidden="1" outlineLevel="1" x14ac:dyDescent="0.25">
      <c r="A72" s="13" t="s">
        <v>71</v>
      </c>
      <c r="D72" s="11"/>
      <c r="E72" s="118"/>
      <c r="F72" s="118"/>
      <c r="G72" s="11"/>
      <c r="H72" s="118"/>
      <c r="I72" s="118"/>
      <c r="J72" s="11"/>
      <c r="K72" s="118"/>
      <c r="L72" s="118"/>
      <c r="M72" s="11"/>
      <c r="N72" s="118"/>
      <c r="O72" s="118"/>
    </row>
    <row r="73" spans="1:15" hidden="1" outlineLevel="1" x14ac:dyDescent="0.25">
      <c r="A73" s="13" t="s">
        <v>72</v>
      </c>
      <c r="D73" s="11"/>
      <c r="E73" s="118"/>
      <c r="F73" s="118"/>
      <c r="G73" s="11"/>
      <c r="H73" s="118"/>
      <c r="I73" s="118"/>
      <c r="J73" s="11"/>
      <c r="K73" s="118"/>
      <c r="L73" s="118"/>
      <c r="M73" s="11"/>
      <c r="N73" s="118"/>
      <c r="O73" s="118"/>
    </row>
    <row r="74" spans="1:15" hidden="1" outlineLevel="1" x14ac:dyDescent="0.25">
      <c r="A74" s="13" t="s">
        <v>73</v>
      </c>
      <c r="D74" s="11"/>
      <c r="E74" s="118"/>
      <c r="F74" s="118"/>
      <c r="G74" s="11"/>
      <c r="H74" s="118"/>
      <c r="I74" s="118"/>
      <c r="J74" s="11"/>
      <c r="K74" s="118"/>
      <c r="L74" s="118"/>
      <c r="M74" s="11"/>
      <c r="N74" s="118"/>
      <c r="O74" s="118"/>
    </row>
    <row r="75" spans="1:15" hidden="1" outlineLevel="1" x14ac:dyDescent="0.25">
      <c r="A75" s="13" t="s">
        <v>73</v>
      </c>
      <c r="D75" s="11"/>
      <c r="E75" s="118"/>
      <c r="F75" s="118"/>
      <c r="G75" s="11"/>
      <c r="H75" s="118"/>
      <c r="I75" s="118"/>
      <c r="J75" s="11"/>
      <c r="K75" s="118"/>
      <c r="L75" s="118"/>
      <c r="M75" s="11"/>
      <c r="N75" s="118"/>
      <c r="O75" s="118"/>
    </row>
    <row r="76" spans="1:15" collapsed="1" x14ac:dyDescent="0.25">
      <c r="A76" s="13" t="s">
        <v>73</v>
      </c>
      <c r="D76" s="11"/>
      <c r="E76" s="118"/>
      <c r="F76" s="118"/>
      <c r="G76" s="11"/>
      <c r="H76" s="118"/>
      <c r="I76" s="118"/>
      <c r="J76" s="11"/>
      <c r="K76" s="118"/>
      <c r="L76" s="118"/>
      <c r="M76" s="11"/>
      <c r="N76" s="118"/>
      <c r="O76" s="118"/>
    </row>
    <row r="77" spans="1:15" s="23" customFormat="1" x14ac:dyDescent="0.25">
      <c r="A77" s="28" t="s">
        <v>74</v>
      </c>
      <c r="B77" s="29" t="e">
        <f>SUM(B69:B76)</f>
        <v>#REF!</v>
      </c>
      <c r="C77" s="29" t="e">
        <f>SUM(C69:C76)</f>
        <v>#REF!</v>
      </c>
      <c r="D77" s="29" t="e">
        <f>SUM(D69:D76)</f>
        <v>#REF!</v>
      </c>
      <c r="E77" s="148" t="e">
        <f t="shared" ref="E77:O77" si="23">SUM(E69:E76)</f>
        <v>#REF!</v>
      </c>
      <c r="F77" s="148">
        <f t="shared" si="23"/>
        <v>0</v>
      </c>
      <c r="G77" s="29" t="e">
        <f>SUM(G69:G76)</f>
        <v>#REF!</v>
      </c>
      <c r="H77" s="148" t="e">
        <f t="shared" si="23"/>
        <v>#REF!</v>
      </c>
      <c r="I77" s="148">
        <f t="shared" si="23"/>
        <v>0</v>
      </c>
      <c r="J77" s="29" t="e">
        <f>SUM(J69:J76)</f>
        <v>#REF!</v>
      </c>
      <c r="K77" s="148" t="e">
        <f t="shared" si="23"/>
        <v>#REF!</v>
      </c>
      <c r="L77" s="148">
        <f t="shared" si="23"/>
        <v>0</v>
      </c>
      <c r="M77" s="29" t="e">
        <f>SUM(M69:M76)</f>
        <v>#REF!</v>
      </c>
      <c r="N77" s="148" t="e">
        <f t="shared" si="23"/>
        <v>#REF!</v>
      </c>
      <c r="O77" s="148">
        <f t="shared" si="23"/>
        <v>0</v>
      </c>
    </row>
    <row r="78" spans="1:15" x14ac:dyDescent="0.25">
      <c r="A78" s="13" t="s">
        <v>75</v>
      </c>
      <c r="D78" s="11"/>
      <c r="E78" s="118"/>
      <c r="F78" s="118"/>
      <c r="G78" s="11"/>
      <c r="H78" s="118"/>
      <c r="I78" s="118"/>
      <c r="J78" s="11"/>
      <c r="K78" s="118"/>
      <c r="L78" s="118"/>
      <c r="M78" s="11"/>
      <c r="N78" s="118"/>
      <c r="O78" s="118"/>
    </row>
    <row r="79" spans="1:15" s="16" customFormat="1" ht="28.2" thickBot="1" x14ac:dyDescent="0.3">
      <c r="A79" s="30" t="s">
        <v>76</v>
      </c>
      <c r="B79" s="20" t="e">
        <f>SUM(B77)</f>
        <v>#REF!</v>
      </c>
      <c r="C79" s="20" t="e">
        <f>SUM(C77)</f>
        <v>#REF!</v>
      </c>
      <c r="D79" s="20" t="e">
        <f>SUM(D77)</f>
        <v>#REF!</v>
      </c>
      <c r="E79" s="120" t="e">
        <f t="shared" ref="E79:O79" si="24">SUM(E77)</f>
        <v>#REF!</v>
      </c>
      <c r="F79" s="120">
        <f t="shared" si="24"/>
        <v>0</v>
      </c>
      <c r="G79" s="20" t="e">
        <f>SUM(G77)</f>
        <v>#REF!</v>
      </c>
      <c r="H79" s="120" t="e">
        <f t="shared" si="24"/>
        <v>#REF!</v>
      </c>
      <c r="I79" s="120">
        <f t="shared" si="24"/>
        <v>0</v>
      </c>
      <c r="J79" s="20" t="e">
        <f>SUM(J77)</f>
        <v>#REF!</v>
      </c>
      <c r="K79" s="120" t="e">
        <f t="shared" si="24"/>
        <v>#REF!</v>
      </c>
      <c r="L79" s="120">
        <f t="shared" si="24"/>
        <v>0</v>
      </c>
      <c r="M79" s="20" t="e">
        <f>SUM(M77)</f>
        <v>#REF!</v>
      </c>
      <c r="N79" s="120" t="e">
        <f t="shared" si="24"/>
        <v>#REF!</v>
      </c>
      <c r="O79" s="120">
        <f t="shared" si="24"/>
        <v>0</v>
      </c>
    </row>
    <row r="80" spans="1:15" ht="14.4" thickTop="1" x14ac:dyDescent="0.25">
      <c r="B80" s="11" t="e">
        <f>B79-#REF!</f>
        <v>#REF!</v>
      </c>
      <c r="C80" s="11" t="e">
        <f>C79-#REF!</f>
        <v>#REF!</v>
      </c>
      <c r="D80" s="96" t="e">
        <f>D79-#REF!</f>
        <v>#REF!</v>
      </c>
      <c r="G80" s="143" t="e">
        <f>G79-#REF!</f>
        <v>#REF!</v>
      </c>
      <c r="J80" s="144" t="e">
        <f>J79-#REF!</f>
        <v>#REF!</v>
      </c>
      <c r="M80" s="142" t="e">
        <f>M79-#REF!</f>
        <v>#REF!</v>
      </c>
    </row>
    <row r="81" spans="1:4" x14ac:dyDescent="0.25">
      <c r="A81" s="31" t="s">
        <v>77</v>
      </c>
      <c r="D81" s="11"/>
    </row>
    <row r="82" spans="1:4" x14ac:dyDescent="0.25">
      <c r="A82" s="13" t="s">
        <v>78</v>
      </c>
      <c r="D82" s="11"/>
    </row>
    <row r="83" spans="1:4" x14ac:dyDescent="0.25">
      <c r="A83" s="13" t="s">
        <v>79</v>
      </c>
      <c r="D83" s="11"/>
    </row>
    <row r="84" spans="1:4" x14ac:dyDescent="0.25">
      <c r="A84" s="13" t="s">
        <v>80</v>
      </c>
      <c r="D84" s="25"/>
    </row>
    <row r="85" spans="1:4" x14ac:dyDescent="0.25">
      <c r="C85" s="25"/>
      <c r="D85" s="11"/>
    </row>
    <row r="86" spans="1:4" x14ac:dyDescent="0.25">
      <c r="D86" s="11"/>
    </row>
    <row r="87" spans="1:4" x14ac:dyDescent="0.25">
      <c r="A87" s="31" t="s">
        <v>81</v>
      </c>
      <c r="D87" s="11"/>
    </row>
    <row r="88" spans="1:4" x14ac:dyDescent="0.25">
      <c r="D88" s="11"/>
    </row>
    <row r="89" spans="1:4" x14ac:dyDescent="0.25">
      <c r="A89" s="13" t="s">
        <v>82</v>
      </c>
      <c r="C89" s="19"/>
      <c r="D89" s="11"/>
    </row>
    <row r="90" spans="1:4" x14ac:dyDescent="0.25">
      <c r="A90" s="13" t="s">
        <v>83</v>
      </c>
      <c r="C90" s="32"/>
      <c r="D90" s="11"/>
    </row>
    <row r="91" spans="1:4" x14ac:dyDescent="0.25">
      <c r="A91" s="13" t="s">
        <v>43</v>
      </c>
      <c r="D91" s="11"/>
    </row>
    <row r="92" spans="1:4" x14ac:dyDescent="0.25">
      <c r="D92" s="11"/>
    </row>
    <row r="93" spans="1:4" x14ac:dyDescent="0.25">
      <c r="A93" s="13" t="s">
        <v>84</v>
      </c>
      <c r="D93" s="11"/>
    </row>
    <row r="94" spans="1:4" x14ac:dyDescent="0.25">
      <c r="A94" s="13" t="s">
        <v>85</v>
      </c>
      <c r="D94" s="25"/>
    </row>
    <row r="95" spans="1:4" x14ac:dyDescent="0.25">
      <c r="A95" s="9" t="s">
        <v>47</v>
      </c>
      <c r="C95" s="25"/>
      <c r="D95" s="11"/>
    </row>
    <row r="96" spans="1:4" x14ac:dyDescent="0.25">
      <c r="C96" s="25"/>
      <c r="D96" s="11"/>
    </row>
    <row r="97" spans="1:4" x14ac:dyDescent="0.25">
      <c r="A97" s="13" t="s">
        <v>86</v>
      </c>
      <c r="D97" s="11"/>
    </row>
    <row r="98" spans="1:4" x14ac:dyDescent="0.25">
      <c r="A98" s="13" t="s">
        <v>87</v>
      </c>
      <c r="D98" s="11"/>
    </row>
    <row r="99" spans="1:4" x14ac:dyDescent="0.25">
      <c r="A99" s="13" t="s">
        <v>88</v>
      </c>
      <c r="D99" s="25"/>
    </row>
    <row r="100" spans="1:4" x14ac:dyDescent="0.25">
      <c r="A100" s="13" t="s">
        <v>89</v>
      </c>
      <c r="D100" s="11"/>
    </row>
    <row r="101" spans="1:4" x14ac:dyDescent="0.25">
      <c r="A101" s="13" t="s">
        <v>90</v>
      </c>
      <c r="C101" s="25"/>
      <c r="D101" s="11"/>
    </row>
    <row r="102" spans="1:4" x14ac:dyDescent="0.25">
      <c r="D102" s="11"/>
    </row>
    <row r="103" spans="1:4" x14ac:dyDescent="0.25">
      <c r="A103" s="13" t="s">
        <v>56</v>
      </c>
      <c r="D103" s="11"/>
    </row>
    <row r="104" spans="1:4" x14ac:dyDescent="0.25">
      <c r="D104" s="11"/>
    </row>
    <row r="105" spans="1:4" x14ac:dyDescent="0.25">
      <c r="A105" s="13" t="s">
        <v>91</v>
      </c>
      <c r="C105" s="25"/>
      <c r="D105" s="25"/>
    </row>
    <row r="106" spans="1:4" x14ac:dyDescent="0.25">
      <c r="A106" s="13" t="s">
        <v>92</v>
      </c>
      <c r="D106" s="11"/>
    </row>
    <row r="107" spans="1:4" x14ac:dyDescent="0.25">
      <c r="D107" s="11"/>
    </row>
    <row r="108" spans="1:4" x14ac:dyDescent="0.25">
      <c r="A108" s="13" t="s">
        <v>62</v>
      </c>
      <c r="D108" s="11"/>
    </row>
    <row r="109" spans="1:4" x14ac:dyDescent="0.25">
      <c r="D109" s="11"/>
    </row>
    <row r="110" spans="1:4" x14ac:dyDescent="0.25">
      <c r="A110" s="13" t="s">
        <v>93</v>
      </c>
      <c r="D110" s="11"/>
    </row>
    <row r="111" spans="1:4" x14ac:dyDescent="0.25">
      <c r="A111" s="13" t="s">
        <v>94</v>
      </c>
      <c r="D111" s="25"/>
    </row>
    <row r="113" spans="1:4" x14ac:dyDescent="0.25">
      <c r="A113" s="13" t="s">
        <v>52</v>
      </c>
      <c r="C113" s="25"/>
    </row>
    <row r="115" spans="1:4" x14ac:dyDescent="0.25">
      <c r="A115" s="33" t="s">
        <v>77</v>
      </c>
    </row>
    <row r="116" spans="1:4" x14ac:dyDescent="0.25">
      <c r="A116" s="34" t="s">
        <v>95</v>
      </c>
      <c r="C116" s="8"/>
      <c r="D116" s="11"/>
    </row>
    <row r="117" spans="1:4" x14ac:dyDescent="0.25">
      <c r="A117" s="34" t="s">
        <v>96</v>
      </c>
      <c r="C117" s="8"/>
      <c r="D117" s="11"/>
    </row>
    <row r="118" spans="1:4" x14ac:dyDescent="0.25">
      <c r="A118" s="35" t="s">
        <v>27</v>
      </c>
      <c r="C118" s="8"/>
      <c r="D118" s="25"/>
    </row>
    <row r="119" spans="1:4" x14ac:dyDescent="0.25">
      <c r="A119" s="34"/>
      <c r="C119" s="8"/>
      <c r="D119" s="11"/>
    </row>
    <row r="120" spans="1:4" x14ac:dyDescent="0.25">
      <c r="A120" s="33" t="s">
        <v>97</v>
      </c>
      <c r="C120" s="8"/>
      <c r="D120" s="11"/>
    </row>
    <row r="121" spans="1:4" x14ac:dyDescent="0.25">
      <c r="A121" s="34" t="s">
        <v>98</v>
      </c>
      <c r="C121" s="8"/>
      <c r="D121" s="11"/>
    </row>
    <row r="122" spans="1:4" x14ac:dyDescent="0.25">
      <c r="A122" s="34" t="s">
        <v>88</v>
      </c>
      <c r="C122" s="8"/>
      <c r="D122" s="11"/>
    </row>
    <row r="123" spans="1:4" x14ac:dyDescent="0.25">
      <c r="A123" s="34" t="s">
        <v>86</v>
      </c>
      <c r="C123" s="8"/>
      <c r="D123" s="11"/>
    </row>
    <row r="124" spans="1:4" x14ac:dyDescent="0.25">
      <c r="A124" s="34" t="s">
        <v>99</v>
      </c>
      <c r="D124" s="11"/>
    </row>
    <row r="125" spans="1:4" x14ac:dyDescent="0.25">
      <c r="A125" s="34" t="s">
        <v>100</v>
      </c>
      <c r="D125" s="11"/>
    </row>
    <row r="126" spans="1:4" x14ac:dyDescent="0.25">
      <c r="A126" s="34" t="s">
        <v>101</v>
      </c>
      <c r="D126" s="11"/>
    </row>
    <row r="127" spans="1:4" x14ac:dyDescent="0.25">
      <c r="A127" s="34"/>
      <c r="D127" s="11"/>
    </row>
    <row r="128" spans="1:4" x14ac:dyDescent="0.25">
      <c r="A128" s="36" t="s">
        <v>102</v>
      </c>
      <c r="D128" s="25"/>
    </row>
    <row r="129" spans="1:4" x14ac:dyDescent="0.25">
      <c r="A129" s="34"/>
      <c r="D129" s="11"/>
    </row>
    <row r="130" spans="1:4" x14ac:dyDescent="0.25">
      <c r="A130" s="34" t="s">
        <v>103</v>
      </c>
      <c r="D130" s="11"/>
    </row>
    <row r="131" spans="1:4" x14ac:dyDescent="0.25">
      <c r="A131" s="34" t="s">
        <v>85</v>
      </c>
      <c r="D131" s="11"/>
    </row>
    <row r="132" spans="1:4" x14ac:dyDescent="0.25">
      <c r="A132" s="34"/>
      <c r="D132" s="11"/>
    </row>
    <row r="133" spans="1:4" x14ac:dyDescent="0.25">
      <c r="A133" s="26" t="s">
        <v>47</v>
      </c>
      <c r="D133" s="25"/>
    </row>
    <row r="134" spans="1:4" x14ac:dyDescent="0.25">
      <c r="A134" s="34"/>
      <c r="D134" s="11"/>
    </row>
    <row r="135" spans="1:4" x14ac:dyDescent="0.25">
      <c r="A135" s="34" t="s">
        <v>104</v>
      </c>
      <c r="D135" s="11"/>
    </row>
    <row r="136" spans="1:4" x14ac:dyDescent="0.25">
      <c r="A136" s="34" t="s">
        <v>105</v>
      </c>
      <c r="D136" s="11"/>
    </row>
    <row r="137" spans="1:4" x14ac:dyDescent="0.25">
      <c r="A137" s="34" t="s">
        <v>106</v>
      </c>
      <c r="D137" s="11"/>
    </row>
    <row r="138" spans="1:4" x14ac:dyDescent="0.25">
      <c r="A138" s="34"/>
      <c r="D138" s="11"/>
    </row>
    <row r="139" spans="1:4" x14ac:dyDescent="0.25">
      <c r="A139" s="26" t="s">
        <v>49</v>
      </c>
      <c r="D139" s="25"/>
    </row>
    <row r="140" spans="1:4" x14ac:dyDescent="0.25">
      <c r="A140" s="34"/>
      <c r="D140" s="11"/>
    </row>
    <row r="141" spans="1:4" x14ac:dyDescent="0.25">
      <c r="A141" s="34" t="s">
        <v>107</v>
      </c>
      <c r="D141" s="11"/>
    </row>
    <row r="142" spans="1:4" x14ac:dyDescent="0.25">
      <c r="A142" s="34" t="s">
        <v>108</v>
      </c>
      <c r="D142" s="11"/>
    </row>
    <row r="143" spans="1:4" x14ac:dyDescent="0.25">
      <c r="A143" s="34" t="s">
        <v>94</v>
      </c>
      <c r="D143" s="11"/>
    </row>
    <row r="144" spans="1:4" x14ac:dyDescent="0.25">
      <c r="A144" s="34"/>
      <c r="D144" s="11"/>
    </row>
    <row r="145" spans="1:4" x14ac:dyDescent="0.25">
      <c r="A145" s="26" t="s">
        <v>52</v>
      </c>
      <c r="D145" s="25"/>
    </row>
  </sheetData>
  <pageMargins left="0.11811023622047245" right="0.19685039370078741" top="0.94488188976377963" bottom="0.74803149606299213" header="0.31496062992125984" footer="0.31496062992125984"/>
  <pageSetup scale="72" orientation="portrait" r:id="rId1"/>
  <headerFooter>
    <oddFooter>&amp;R&amp;F 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14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6" sqref="B16"/>
    </sheetView>
  </sheetViews>
  <sheetFormatPr defaultColWidth="8.6640625" defaultRowHeight="13.8" x14ac:dyDescent="0.25"/>
  <cols>
    <col min="1" max="1" width="53" style="13" bestFit="1" customWidth="1"/>
    <col min="2" max="2" width="15.6640625" style="11" customWidth="1"/>
    <col min="3" max="3" width="12.6640625" style="11" bestFit="1" customWidth="1"/>
    <col min="4" max="4" width="14" style="8" customWidth="1"/>
    <col min="5" max="5" width="14.33203125" style="8" customWidth="1"/>
    <col min="6" max="6" width="13.44140625" style="8" customWidth="1"/>
    <col min="7" max="7" width="13.33203125" style="8" customWidth="1"/>
    <col min="8" max="8" width="12.6640625" style="8" customWidth="1"/>
    <col min="9" max="9" width="13.33203125" style="8" customWidth="1"/>
    <col min="10" max="10" width="12.6640625" style="8" bestFit="1" customWidth="1"/>
    <col min="11" max="11" width="12.33203125" style="8" customWidth="1"/>
    <col min="12" max="12" width="13.33203125" style="8" customWidth="1"/>
    <col min="13" max="13" width="12.6640625" style="8" customWidth="1"/>
    <col min="14" max="15" width="11.33203125" style="8" customWidth="1"/>
    <col min="16" max="16384" width="8.6640625" style="8"/>
  </cols>
  <sheetData>
    <row r="1" spans="1:15" s="5" customFormat="1" ht="39.450000000000003" customHeight="1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4" t="s">
        <v>7</v>
      </c>
      <c r="I1" s="4" t="s">
        <v>8</v>
      </c>
      <c r="J1" s="3" t="s">
        <v>9</v>
      </c>
      <c r="K1" s="4" t="s">
        <v>10</v>
      </c>
      <c r="L1" s="4" t="s">
        <v>11</v>
      </c>
      <c r="M1" s="3" t="s">
        <v>12</v>
      </c>
      <c r="N1" s="4" t="s">
        <v>13</v>
      </c>
      <c r="O1" s="4" t="s">
        <v>14</v>
      </c>
    </row>
    <row r="2" spans="1:15" x14ac:dyDescent="0.25">
      <c r="A2" s="6" t="s">
        <v>15</v>
      </c>
      <c r="B2" s="7"/>
      <c r="C2" s="7"/>
    </row>
    <row r="3" spans="1:15" x14ac:dyDescent="0.25">
      <c r="A3" s="9"/>
      <c r="B3" s="10"/>
      <c r="C3" s="10"/>
    </row>
    <row r="4" spans="1:15" x14ac:dyDescent="0.25">
      <c r="A4" s="9" t="s">
        <v>16</v>
      </c>
      <c r="B4" s="10"/>
      <c r="C4" s="10"/>
      <c r="D4" s="11"/>
    </row>
    <row r="5" spans="1:15" x14ac:dyDescent="0.25">
      <c r="A5" s="12" t="s">
        <v>17</v>
      </c>
      <c r="B5" s="10">
        <v>4391024</v>
      </c>
      <c r="C5" s="10">
        <v>4391024</v>
      </c>
      <c r="D5" s="11">
        <v>4391024</v>
      </c>
      <c r="E5" s="11">
        <f>D5-C5</f>
        <v>0</v>
      </c>
      <c r="G5" s="83">
        <v>4391024</v>
      </c>
      <c r="H5" s="11">
        <f>G5-D5</f>
        <v>0</v>
      </c>
      <c r="J5" s="83">
        <f>+G5*1.01</f>
        <v>4434934.24</v>
      </c>
      <c r="K5" s="11">
        <f>J5-G5</f>
        <v>43910.240000000224</v>
      </c>
      <c r="M5" s="83">
        <f>+J5*1.01</f>
        <v>4479283.5824000007</v>
      </c>
      <c r="N5" s="52">
        <f>M5-J5</f>
        <v>44349.342400000431</v>
      </c>
    </row>
    <row r="6" spans="1:15" x14ac:dyDescent="0.25">
      <c r="A6" s="12" t="s">
        <v>18</v>
      </c>
      <c r="B6" s="10"/>
      <c r="C6" s="10"/>
    </row>
    <row r="7" spans="1:15" x14ac:dyDescent="0.25">
      <c r="A7" s="12" t="s">
        <v>19</v>
      </c>
      <c r="B7" s="10"/>
      <c r="C7" s="10"/>
      <c r="D7" s="11"/>
    </row>
    <row r="8" spans="1:15" x14ac:dyDescent="0.25">
      <c r="A8" s="13" t="s">
        <v>20</v>
      </c>
      <c r="B8" s="10">
        <v>207845</v>
      </c>
      <c r="C8" s="10">
        <v>207845</v>
      </c>
      <c r="D8" s="11">
        <v>207845</v>
      </c>
      <c r="E8" s="11">
        <f>D8-C8</f>
        <v>0</v>
      </c>
      <c r="G8" s="11">
        <v>207845</v>
      </c>
      <c r="H8" s="11">
        <f>G8-D8</f>
        <v>0</v>
      </c>
      <c r="J8" s="83">
        <f>+G8*1.01</f>
        <v>209923.45</v>
      </c>
      <c r="K8" s="11">
        <f>J8-G8</f>
        <v>2078.4500000000116</v>
      </c>
      <c r="M8" s="83">
        <f>+J8*1.01</f>
        <v>212022.6845</v>
      </c>
      <c r="N8" s="52">
        <f>M8-J8</f>
        <v>2099.2344999999914</v>
      </c>
    </row>
    <row r="9" spans="1:15" x14ac:dyDescent="0.25">
      <c r="A9" s="13" t="s">
        <v>21</v>
      </c>
      <c r="B9" s="10">
        <f>570000+125000+57948</f>
        <v>752948</v>
      </c>
      <c r="C9" s="10">
        <f>570000+125000</f>
        <v>695000</v>
      </c>
      <c r="D9" s="11">
        <v>695000</v>
      </c>
      <c r="E9" s="11">
        <f>D9-C9</f>
        <v>0</v>
      </c>
      <c r="G9" s="11">
        <v>695000</v>
      </c>
      <c r="H9" s="11">
        <f>G9-D9</f>
        <v>0</v>
      </c>
      <c r="J9" s="83">
        <f>+G9*1.01</f>
        <v>701950</v>
      </c>
      <c r="K9" s="11">
        <f>J9-G9</f>
        <v>6950</v>
      </c>
      <c r="M9" s="83">
        <f>+J9*1.01</f>
        <v>708969.5</v>
      </c>
      <c r="N9" s="52">
        <f>M9-J9</f>
        <v>7019.5</v>
      </c>
    </row>
    <row r="10" spans="1:15" x14ac:dyDescent="0.25">
      <c r="A10" s="13" t="s">
        <v>22</v>
      </c>
      <c r="B10" s="10"/>
      <c r="C10" s="10"/>
      <c r="D10" s="11"/>
    </row>
    <row r="11" spans="1:15" ht="15" customHeight="1" x14ac:dyDescent="0.25">
      <c r="A11" s="9" t="s">
        <v>23</v>
      </c>
      <c r="B11" s="10"/>
      <c r="C11" s="10"/>
      <c r="D11" s="11"/>
    </row>
    <row r="12" spans="1:15" s="16" customFormat="1" ht="14.4" thickBot="1" x14ac:dyDescent="0.3">
      <c r="A12" s="14" t="s">
        <v>24</v>
      </c>
      <c r="B12" s="15">
        <f t="shared" ref="B12:G12" si="0">SUM(B4:B11)</f>
        <v>5351817</v>
      </c>
      <c r="C12" s="15">
        <f t="shared" si="0"/>
        <v>5293869</v>
      </c>
      <c r="D12" s="15">
        <f t="shared" si="0"/>
        <v>5293869</v>
      </c>
      <c r="E12" s="15">
        <f t="shared" si="0"/>
        <v>0</v>
      </c>
      <c r="F12" s="15">
        <f t="shared" si="0"/>
        <v>0</v>
      </c>
      <c r="G12" s="15">
        <f t="shared" si="0"/>
        <v>5293869</v>
      </c>
      <c r="J12" s="15">
        <f>SUM(J4:J11)</f>
        <v>5346807.6900000004</v>
      </c>
      <c r="K12" s="15">
        <f>SUM(K4:K11)</f>
        <v>52938.690000000235</v>
      </c>
      <c r="L12" s="15">
        <f>SUM(L4:L11)</f>
        <v>0</v>
      </c>
      <c r="M12" s="15">
        <f>SUM(M4:M11)</f>
        <v>5400275.7669000011</v>
      </c>
      <c r="N12" s="15">
        <f>SUM(N4:N11)</f>
        <v>53468.076900000422</v>
      </c>
    </row>
    <row r="13" spans="1:15" ht="14.4" thickTop="1" x14ac:dyDescent="0.25">
      <c r="A13" s="9"/>
      <c r="B13" s="17"/>
      <c r="C13" s="17"/>
    </row>
    <row r="14" spans="1:15" ht="14.7" customHeight="1" x14ac:dyDescent="0.25">
      <c r="A14" s="9" t="s">
        <v>25</v>
      </c>
      <c r="B14" s="10">
        <f>93636+135000+25000+14780+14196</f>
        <v>282612</v>
      </c>
      <c r="C14" s="10">
        <f>93636+135000</f>
        <v>228636</v>
      </c>
      <c r="D14" s="11">
        <v>228636</v>
      </c>
      <c r="E14" s="11">
        <f>D14-C14</f>
        <v>0</v>
      </c>
      <c r="G14" s="83">
        <v>228636</v>
      </c>
      <c r="H14" s="11">
        <f>G14-D14</f>
        <v>0</v>
      </c>
      <c r="I14" s="83"/>
      <c r="J14" s="83">
        <f>+G14*1.01</f>
        <v>230922.36000000002</v>
      </c>
      <c r="K14" s="11">
        <f>J14-G14</f>
        <v>2286.3600000000151</v>
      </c>
      <c r="L14" s="83"/>
      <c r="M14" s="83">
        <f>+J14*1.01</f>
        <v>233231.58360000001</v>
      </c>
      <c r="N14" s="52">
        <f t="shared" ref="N14:N20" si="1">M14-J14</f>
        <v>2309.2235999999975</v>
      </c>
    </row>
    <row r="15" spans="1:15" x14ac:dyDescent="0.25">
      <c r="A15" s="9" t="s">
        <v>26</v>
      </c>
      <c r="B15" s="10"/>
      <c r="C15" s="10"/>
      <c r="D15" s="11"/>
      <c r="G15" s="83"/>
      <c r="H15" s="83"/>
      <c r="I15" s="83"/>
      <c r="J15" s="83"/>
      <c r="K15" s="83"/>
      <c r="L15" s="83"/>
      <c r="M15" s="83"/>
      <c r="N15" s="52">
        <f t="shared" si="1"/>
        <v>0</v>
      </c>
    </row>
    <row r="16" spans="1:15" x14ac:dyDescent="0.25">
      <c r="A16" s="9" t="s">
        <v>27</v>
      </c>
      <c r="B16" s="10">
        <v>27500</v>
      </c>
      <c r="D16" s="11"/>
      <c r="G16" s="83"/>
      <c r="H16" s="83"/>
      <c r="I16" s="83"/>
      <c r="J16" s="83"/>
      <c r="K16" s="83"/>
      <c r="L16" s="83"/>
      <c r="M16" s="83"/>
      <c r="N16" s="52">
        <f t="shared" si="1"/>
        <v>0</v>
      </c>
    </row>
    <row r="17" spans="1:15" x14ac:dyDescent="0.25">
      <c r="A17" s="9" t="s">
        <v>28</v>
      </c>
      <c r="B17" s="10"/>
      <c r="C17" s="10"/>
      <c r="D17" s="11"/>
      <c r="G17" s="83"/>
      <c r="H17" s="83"/>
      <c r="I17" s="83"/>
      <c r="J17" s="83"/>
      <c r="K17" s="83"/>
      <c r="L17" s="83"/>
      <c r="M17" s="83"/>
      <c r="N17" s="52">
        <f t="shared" si="1"/>
        <v>0</v>
      </c>
    </row>
    <row r="18" spans="1:15" x14ac:dyDescent="0.25">
      <c r="A18" s="9" t="s">
        <v>29</v>
      </c>
      <c r="B18" s="10"/>
      <c r="C18" s="10"/>
      <c r="G18" s="83"/>
      <c r="H18" s="83"/>
      <c r="I18" s="83"/>
      <c r="J18" s="83"/>
      <c r="K18" s="83"/>
      <c r="L18" s="83"/>
      <c r="M18" s="83"/>
      <c r="N18" s="52">
        <f t="shared" si="1"/>
        <v>0</v>
      </c>
    </row>
    <row r="19" spans="1:15" x14ac:dyDescent="0.25">
      <c r="A19" s="9" t="s">
        <v>30</v>
      </c>
      <c r="B19" s="10"/>
      <c r="C19" s="10"/>
      <c r="G19" s="83"/>
      <c r="H19" s="83"/>
      <c r="I19" s="83"/>
      <c r="J19" s="83"/>
      <c r="K19" s="83"/>
      <c r="L19" s="83"/>
      <c r="M19" s="83"/>
      <c r="N19" s="52">
        <f t="shared" si="1"/>
        <v>0</v>
      </c>
    </row>
    <row r="20" spans="1:15" x14ac:dyDescent="0.25">
      <c r="A20" s="9" t="s">
        <v>31</v>
      </c>
      <c r="B20" s="19">
        <v>90000</v>
      </c>
      <c r="C20" s="19">
        <v>90000</v>
      </c>
      <c r="D20" s="11">
        <v>90000</v>
      </c>
      <c r="E20" s="11">
        <f>D20-C20</f>
        <v>0</v>
      </c>
      <c r="F20" s="8" t="s">
        <v>161</v>
      </c>
      <c r="G20" s="83">
        <v>90000</v>
      </c>
      <c r="H20" s="11">
        <f>G20-D20</f>
        <v>0</v>
      </c>
      <c r="I20" s="83"/>
      <c r="J20" s="83">
        <v>90000</v>
      </c>
      <c r="K20" s="11">
        <f>J20-G20</f>
        <v>0</v>
      </c>
      <c r="L20" s="83"/>
      <c r="M20" s="83">
        <v>90000</v>
      </c>
      <c r="N20" s="52">
        <f t="shared" si="1"/>
        <v>0</v>
      </c>
    </row>
    <row r="21" spans="1:15" x14ac:dyDescent="0.25">
      <c r="A21" s="9"/>
      <c r="B21" s="19"/>
      <c r="C21" s="18"/>
      <c r="D21" s="11"/>
      <c r="G21" s="83"/>
      <c r="H21" s="83"/>
      <c r="I21" s="83"/>
      <c r="J21" s="83"/>
      <c r="K21" s="83"/>
      <c r="L21" s="83"/>
      <c r="M21" s="83"/>
    </row>
    <row r="22" spans="1:15" x14ac:dyDescent="0.25">
      <c r="A22" s="9" t="s">
        <v>32</v>
      </c>
      <c r="B22" s="19"/>
      <c r="C22" s="19"/>
      <c r="D22" s="11"/>
    </row>
    <row r="23" spans="1:15" s="16" customFormat="1" ht="14.4" thickBot="1" x14ac:dyDescent="0.3">
      <c r="A23" s="14" t="s">
        <v>33</v>
      </c>
      <c r="B23" s="84">
        <f t="shared" ref="B23:G23" si="2">SUM(B12:B22)</f>
        <v>5751929</v>
      </c>
      <c r="C23" s="84">
        <f t="shared" si="2"/>
        <v>5612505</v>
      </c>
      <c r="D23" s="84">
        <f t="shared" si="2"/>
        <v>5612505</v>
      </c>
      <c r="E23" s="84">
        <f t="shared" si="2"/>
        <v>0</v>
      </c>
      <c r="F23" s="84">
        <f t="shared" si="2"/>
        <v>0</v>
      </c>
      <c r="G23" s="84">
        <f t="shared" si="2"/>
        <v>5612505</v>
      </c>
      <c r="J23" s="84">
        <f>SUM(J12:J22)</f>
        <v>5667730.0500000007</v>
      </c>
      <c r="K23" s="84">
        <f>SUM(K12:K22)</f>
        <v>55225.05000000025</v>
      </c>
      <c r="L23" s="84">
        <f>SUM(L12:L22)</f>
        <v>0</v>
      </c>
      <c r="M23" s="84">
        <f>SUM(M12:M22)</f>
        <v>5723507.3505000006</v>
      </c>
      <c r="N23" s="84">
        <f>SUM(N12:N22)</f>
        <v>55777.30050000042</v>
      </c>
    </row>
    <row r="24" spans="1:15" ht="14.4" thickTop="1" x14ac:dyDescent="0.25">
      <c r="A24" s="9"/>
      <c r="B24" s="19"/>
      <c r="C24" s="18"/>
    </row>
    <row r="25" spans="1:15" x14ac:dyDescent="0.25">
      <c r="A25" s="6" t="s">
        <v>34</v>
      </c>
      <c r="B25" s="10">
        <f>5751929-B23</f>
        <v>0</v>
      </c>
    </row>
    <row r="26" spans="1:15" ht="25.2" customHeight="1" x14ac:dyDescent="0.25">
      <c r="A26" s="9" t="s">
        <v>35</v>
      </c>
      <c r="B26" s="10"/>
      <c r="C26" s="19"/>
    </row>
    <row r="27" spans="1:15" x14ac:dyDescent="0.25">
      <c r="A27" s="9" t="s">
        <v>36</v>
      </c>
      <c r="B27" s="10">
        <v>461035</v>
      </c>
      <c r="C27" s="10">
        <v>489617</v>
      </c>
      <c r="D27" s="11">
        <v>498097</v>
      </c>
      <c r="E27" s="11">
        <f>D27-C27</f>
        <v>8480</v>
      </c>
      <c r="G27" s="83">
        <v>505993</v>
      </c>
      <c r="H27" s="11">
        <f>G27-D27</f>
        <v>7896</v>
      </c>
      <c r="I27" s="83"/>
      <c r="J27" s="83">
        <v>514093</v>
      </c>
      <c r="K27" s="11">
        <f>J27-G27</f>
        <v>8100</v>
      </c>
      <c r="L27" s="83"/>
      <c r="M27" s="83">
        <v>522253</v>
      </c>
      <c r="N27" s="52">
        <f>M27-J27</f>
        <v>8160</v>
      </c>
    </row>
    <row r="28" spans="1:15" x14ac:dyDescent="0.25">
      <c r="A28" s="9" t="s">
        <v>37</v>
      </c>
      <c r="B28" s="10">
        <f>3787280-461035</f>
        <v>3326245</v>
      </c>
      <c r="C28" s="10">
        <f>(3767051-C27)*0.96</f>
        <v>3146336.6399999997</v>
      </c>
      <c r="D28" s="11">
        <f>3258548</f>
        <v>3258548</v>
      </c>
      <c r="E28" s="11">
        <f>D28-C28</f>
        <v>112211.36000000034</v>
      </c>
      <c r="G28" s="83">
        <v>3329067</v>
      </c>
      <c r="H28" s="11">
        <f>G28-D28</f>
        <v>70519</v>
      </c>
      <c r="I28" s="83"/>
      <c r="J28" s="83">
        <v>3393790</v>
      </c>
      <c r="K28" s="11">
        <f>J28-G28</f>
        <v>64723</v>
      </c>
      <c r="L28" s="83"/>
      <c r="M28" s="83">
        <v>3443956</v>
      </c>
      <c r="N28" s="52">
        <f>M28-J28</f>
        <v>50166</v>
      </c>
    </row>
    <row r="29" spans="1:15" x14ac:dyDescent="0.25">
      <c r="A29" s="9" t="s">
        <v>38</v>
      </c>
      <c r="B29" s="85"/>
      <c r="C29" s="10"/>
      <c r="D29" s="11"/>
    </row>
    <row r="30" spans="1:15" x14ac:dyDescent="0.25">
      <c r="A30" s="9" t="s">
        <v>39</v>
      </c>
      <c r="B30" s="86">
        <f>SUM(B27:B29)</f>
        <v>3787280</v>
      </c>
      <c r="C30" s="86">
        <f>SUM(C27:C29)</f>
        <v>3635953.6399999997</v>
      </c>
      <c r="D30" s="86">
        <f t="shared" ref="D30:O30" si="3">SUM(D27:D29)</f>
        <v>3756645</v>
      </c>
      <c r="E30" s="86">
        <f t="shared" si="3"/>
        <v>120691.36000000034</v>
      </c>
      <c r="F30" s="86">
        <f t="shared" si="3"/>
        <v>0</v>
      </c>
      <c r="G30" s="86">
        <f t="shared" si="3"/>
        <v>3835060</v>
      </c>
      <c r="H30" s="86">
        <f t="shared" si="3"/>
        <v>78415</v>
      </c>
      <c r="I30" s="86">
        <f t="shared" si="3"/>
        <v>0</v>
      </c>
      <c r="J30" s="86">
        <f t="shared" si="3"/>
        <v>3907883</v>
      </c>
      <c r="K30" s="86">
        <f t="shared" si="3"/>
        <v>72823</v>
      </c>
      <c r="L30" s="86">
        <f t="shared" si="3"/>
        <v>0</v>
      </c>
      <c r="M30" s="86">
        <f t="shared" si="3"/>
        <v>3966209</v>
      </c>
      <c r="N30" s="86">
        <f t="shared" si="3"/>
        <v>58326</v>
      </c>
      <c r="O30" s="86">
        <f t="shared" si="3"/>
        <v>0</v>
      </c>
    </row>
    <row r="31" spans="1:15" x14ac:dyDescent="0.25">
      <c r="A31" s="9" t="s">
        <v>40</v>
      </c>
      <c r="B31" s="10">
        <v>739835</v>
      </c>
      <c r="C31" s="10">
        <v>718910</v>
      </c>
      <c r="D31" s="11">
        <v>747318</v>
      </c>
      <c r="E31" s="11">
        <f>D31-C31</f>
        <v>28408</v>
      </c>
      <c r="G31" s="83">
        <v>765948</v>
      </c>
      <c r="H31" s="11">
        <f>G31-D31</f>
        <v>18630</v>
      </c>
      <c r="I31" s="83"/>
      <c r="J31" s="83">
        <v>783129</v>
      </c>
      <c r="K31" s="11">
        <f>J31-G31</f>
        <v>17181</v>
      </c>
      <c r="L31" s="83"/>
      <c r="M31" s="83">
        <v>795670</v>
      </c>
      <c r="N31" s="52">
        <f>M31-J31</f>
        <v>12541</v>
      </c>
    </row>
    <row r="32" spans="1:15" s="23" customFormat="1" x14ac:dyDescent="0.25">
      <c r="A32" s="21" t="s">
        <v>41</v>
      </c>
      <c r="B32" s="87">
        <f>SUM(B30:B31)</f>
        <v>4527115</v>
      </c>
      <c r="C32" s="87">
        <f t="shared" ref="C32:N32" si="4">SUM(C30:C31)</f>
        <v>4354863.6399999997</v>
      </c>
      <c r="D32" s="87">
        <f t="shared" si="4"/>
        <v>4503963</v>
      </c>
      <c r="E32" s="87">
        <f t="shared" si="4"/>
        <v>149099.36000000034</v>
      </c>
      <c r="F32" s="87">
        <f t="shared" si="4"/>
        <v>0</v>
      </c>
      <c r="G32" s="87">
        <f t="shared" si="4"/>
        <v>4601008</v>
      </c>
      <c r="H32" s="87">
        <f t="shared" si="4"/>
        <v>97045</v>
      </c>
      <c r="I32" s="87">
        <f t="shared" si="4"/>
        <v>0</v>
      </c>
      <c r="J32" s="87">
        <f t="shared" si="4"/>
        <v>4691012</v>
      </c>
      <c r="K32" s="87">
        <f t="shared" si="4"/>
        <v>90004</v>
      </c>
      <c r="L32" s="87">
        <f t="shared" si="4"/>
        <v>0</v>
      </c>
      <c r="M32" s="87">
        <f t="shared" si="4"/>
        <v>4761879</v>
      </c>
      <c r="N32" s="87">
        <f t="shared" si="4"/>
        <v>70867</v>
      </c>
    </row>
    <row r="33" spans="1:14" x14ac:dyDescent="0.25">
      <c r="A33" s="9"/>
      <c r="B33" s="19"/>
      <c r="C33" s="10"/>
    </row>
    <row r="34" spans="1:14" ht="25.2" customHeight="1" x14ac:dyDescent="0.25">
      <c r="A34" s="9" t="s">
        <v>42</v>
      </c>
      <c r="B34" s="19"/>
      <c r="C34" s="10"/>
    </row>
    <row r="35" spans="1:14" x14ac:dyDescent="0.25">
      <c r="A35" s="9" t="s">
        <v>43</v>
      </c>
      <c r="B35" s="19">
        <v>67500</v>
      </c>
      <c r="C35" s="19">
        <f>49000+15000</f>
        <v>64000</v>
      </c>
      <c r="D35" s="11">
        <f>+C35*1.02</f>
        <v>65280</v>
      </c>
      <c r="E35" s="11">
        <f>D35-C35</f>
        <v>1280</v>
      </c>
      <c r="G35" s="11">
        <f>D35*1.02</f>
        <v>66585.600000000006</v>
      </c>
      <c r="H35" s="11">
        <f>G35-D35</f>
        <v>1305.6000000000058</v>
      </c>
      <c r="J35" s="11">
        <f>G35*1.02</f>
        <v>67917.312000000005</v>
      </c>
      <c r="K35" s="11">
        <f>J35-G35</f>
        <v>1331.7119999999995</v>
      </c>
      <c r="M35" s="11">
        <f>J35*1.02</f>
        <v>69275.658240000004</v>
      </c>
      <c r="N35" s="52">
        <f>M35-J35</f>
        <v>1358.3462399999989</v>
      </c>
    </row>
    <row r="36" spans="1:14" x14ac:dyDescent="0.25">
      <c r="A36" s="9" t="s">
        <v>44</v>
      </c>
      <c r="B36" s="19">
        <v>53500</v>
      </c>
      <c r="C36" s="19">
        <v>50000</v>
      </c>
      <c r="D36" s="11">
        <f>+C36*1.02</f>
        <v>51000</v>
      </c>
      <c r="E36" s="11">
        <f>D36-C36</f>
        <v>1000</v>
      </c>
      <c r="G36" s="88">
        <f>D36*1.02</f>
        <v>52020</v>
      </c>
      <c r="H36" s="11">
        <f>G36-D36</f>
        <v>1020</v>
      </c>
      <c r="J36" s="88">
        <f>G36*1.02</f>
        <v>53060.4</v>
      </c>
      <c r="K36" s="11">
        <f>J36-G36</f>
        <v>1040.4000000000015</v>
      </c>
      <c r="M36" s="88">
        <f>J36*1.02</f>
        <v>54121.608</v>
      </c>
      <c r="N36" s="52">
        <f>M36-J36</f>
        <v>1061.2079999999987</v>
      </c>
    </row>
    <row r="37" spans="1:14" s="23" customFormat="1" x14ac:dyDescent="0.25">
      <c r="A37" s="21" t="s">
        <v>45</v>
      </c>
      <c r="B37" s="87">
        <f>SUM(B35:B36)</f>
        <v>121000</v>
      </c>
      <c r="C37" s="87">
        <f>SUM(C35:C36)</f>
        <v>114000</v>
      </c>
      <c r="D37" s="87">
        <f t="shared" ref="D37:N37" si="5">SUM(D35:D36)</f>
        <v>116280</v>
      </c>
      <c r="E37" s="87">
        <f t="shared" si="5"/>
        <v>2280</v>
      </c>
      <c r="F37" s="87">
        <f t="shared" si="5"/>
        <v>0</v>
      </c>
      <c r="G37" s="87">
        <f t="shared" si="5"/>
        <v>118605.6</v>
      </c>
      <c r="H37" s="87">
        <f t="shared" si="5"/>
        <v>2325.6000000000058</v>
      </c>
      <c r="I37" s="87">
        <f t="shared" si="5"/>
        <v>0</v>
      </c>
      <c r="J37" s="87">
        <f t="shared" si="5"/>
        <v>120977.712</v>
      </c>
      <c r="K37" s="87">
        <f t="shared" si="5"/>
        <v>2372.112000000001</v>
      </c>
      <c r="L37" s="87">
        <f t="shared" si="5"/>
        <v>0</v>
      </c>
      <c r="M37" s="87">
        <f t="shared" si="5"/>
        <v>123397.26624</v>
      </c>
      <c r="N37" s="87">
        <f t="shared" si="5"/>
        <v>2419.5542399999977</v>
      </c>
    </row>
    <row r="38" spans="1:14" x14ac:dyDescent="0.25">
      <c r="A38" s="9"/>
      <c r="B38" s="19"/>
      <c r="C38" s="18"/>
    </row>
    <row r="39" spans="1:14" ht="25.2" customHeight="1" x14ac:dyDescent="0.25">
      <c r="A39" s="9" t="s">
        <v>46</v>
      </c>
      <c r="B39" s="19"/>
      <c r="C39" s="19"/>
    </row>
    <row r="40" spans="1:14" x14ac:dyDescent="0.25">
      <c r="A40" s="9" t="s">
        <v>47</v>
      </c>
      <c r="B40" s="19">
        <v>428349</v>
      </c>
      <c r="C40" s="19">
        <f>+B40*1.02</f>
        <v>436915.98</v>
      </c>
      <c r="D40" s="11">
        <f>+C40*1.02</f>
        <v>445654.29959999997</v>
      </c>
      <c r="E40" s="11">
        <f>D40-C40</f>
        <v>8738.319599999988</v>
      </c>
      <c r="G40" s="83">
        <f>+D40*1.02</f>
        <v>454567.38559199998</v>
      </c>
      <c r="H40" s="11">
        <f>G40-D40</f>
        <v>8913.0859920000075</v>
      </c>
      <c r="I40" s="83"/>
      <c r="J40" s="83">
        <f>+G40*1.02</f>
        <v>463658.73330383998</v>
      </c>
      <c r="K40" s="11">
        <f t="shared" ref="K40:K49" si="6">J40-G40</f>
        <v>9091.3477118400042</v>
      </c>
      <c r="L40" s="83"/>
      <c r="M40" s="83">
        <f>+J40*1.02</f>
        <v>472931.90796991676</v>
      </c>
      <c r="N40" s="52">
        <f t="shared" ref="N40:N49" si="7">M40-J40</f>
        <v>9273.1746660767822</v>
      </c>
    </row>
    <row r="41" spans="1:14" x14ac:dyDescent="0.25">
      <c r="A41" s="9" t="s">
        <v>48</v>
      </c>
      <c r="B41" s="19">
        <v>0</v>
      </c>
      <c r="C41" s="18">
        <v>0</v>
      </c>
      <c r="D41" s="11">
        <v>0</v>
      </c>
      <c r="G41" s="83">
        <v>0</v>
      </c>
      <c r="H41" s="83"/>
      <c r="I41" s="83"/>
      <c r="J41" s="83">
        <v>0</v>
      </c>
      <c r="K41" s="11">
        <f t="shared" si="6"/>
        <v>0</v>
      </c>
      <c r="L41" s="83"/>
      <c r="M41" s="83">
        <v>0</v>
      </c>
      <c r="N41" s="52">
        <f t="shared" si="7"/>
        <v>0</v>
      </c>
    </row>
    <row r="42" spans="1:14" x14ac:dyDescent="0.25">
      <c r="A42" s="9" t="s">
        <v>49</v>
      </c>
      <c r="B42" s="19">
        <f>38000+40000</f>
        <v>78000</v>
      </c>
      <c r="C42" s="19">
        <v>38000</v>
      </c>
      <c r="D42" s="11">
        <f>+C42</f>
        <v>38000</v>
      </c>
      <c r="E42" s="11">
        <f>D42-C42</f>
        <v>0</v>
      </c>
      <c r="F42" s="8" t="s">
        <v>162</v>
      </c>
      <c r="G42" s="83">
        <v>38000</v>
      </c>
      <c r="H42" s="11">
        <f>G42-D42</f>
        <v>0</v>
      </c>
      <c r="I42" s="83"/>
      <c r="J42" s="83">
        <v>38000</v>
      </c>
      <c r="K42" s="11">
        <f t="shared" si="6"/>
        <v>0</v>
      </c>
      <c r="L42" s="83"/>
      <c r="M42" s="83">
        <v>38000</v>
      </c>
      <c r="N42" s="52">
        <f t="shared" si="7"/>
        <v>0</v>
      </c>
    </row>
    <row r="43" spans="1:14" x14ac:dyDescent="0.25">
      <c r="A43" s="9" t="s">
        <v>50</v>
      </c>
      <c r="B43" s="19">
        <v>25000</v>
      </c>
      <c r="C43" s="19">
        <v>25000</v>
      </c>
      <c r="D43" s="11">
        <f>+C43</f>
        <v>25000</v>
      </c>
      <c r="E43" s="11">
        <f>D43-C43</f>
        <v>0</v>
      </c>
      <c r="F43" s="8" t="s">
        <v>163</v>
      </c>
      <c r="G43" s="83">
        <v>25000</v>
      </c>
      <c r="H43" s="11">
        <f>G43-D43</f>
        <v>0</v>
      </c>
      <c r="I43" s="83"/>
      <c r="J43" s="83">
        <v>25000</v>
      </c>
      <c r="K43" s="11">
        <f t="shared" si="6"/>
        <v>0</v>
      </c>
      <c r="L43" s="83"/>
      <c r="M43" s="83">
        <v>25000</v>
      </c>
      <c r="N43" s="52">
        <f t="shared" si="7"/>
        <v>0</v>
      </c>
    </row>
    <row r="44" spans="1:14" x14ac:dyDescent="0.25">
      <c r="A44" s="9" t="s">
        <v>51</v>
      </c>
      <c r="B44" s="19"/>
      <c r="C44" s="19"/>
      <c r="D44" s="11"/>
      <c r="G44" s="83"/>
      <c r="H44" s="83"/>
      <c r="I44" s="83"/>
      <c r="J44" s="83"/>
      <c r="K44" s="11">
        <f t="shared" si="6"/>
        <v>0</v>
      </c>
      <c r="L44" s="83"/>
      <c r="M44" s="83"/>
      <c r="N44" s="52">
        <f t="shared" si="7"/>
        <v>0</v>
      </c>
    </row>
    <row r="45" spans="1:14" x14ac:dyDescent="0.25">
      <c r="A45" s="9" t="s">
        <v>52</v>
      </c>
      <c r="B45" s="19">
        <f>26000+107700</f>
        <v>133700</v>
      </c>
      <c r="C45" s="19">
        <v>26000</v>
      </c>
      <c r="D45" s="11">
        <f>+C45*1.02</f>
        <v>26520</v>
      </c>
      <c r="E45" s="11">
        <f>D45-C45</f>
        <v>520</v>
      </c>
      <c r="G45" s="83">
        <f>D45*1.02</f>
        <v>27050.400000000001</v>
      </c>
      <c r="H45" s="11">
        <f>G45-D45</f>
        <v>530.40000000000146</v>
      </c>
      <c r="I45" s="83"/>
      <c r="J45" s="83">
        <f>G45*1.02</f>
        <v>27591.408000000003</v>
      </c>
      <c r="K45" s="11">
        <f t="shared" si="6"/>
        <v>541.00800000000163</v>
      </c>
      <c r="L45" s="83"/>
      <c r="M45" s="83">
        <f>J45*1.02</f>
        <v>28143.236160000004</v>
      </c>
      <c r="N45" s="52">
        <f t="shared" si="7"/>
        <v>551.82816000000093</v>
      </c>
    </row>
    <row r="46" spans="1:14" x14ac:dyDescent="0.25">
      <c r="A46" s="9" t="s">
        <v>53</v>
      </c>
      <c r="B46" s="19">
        <v>97364</v>
      </c>
      <c r="C46" s="19">
        <v>91000</v>
      </c>
      <c r="D46" s="11">
        <f>+C46</f>
        <v>91000</v>
      </c>
      <c r="E46" s="11">
        <f>D46-C46</f>
        <v>0</v>
      </c>
      <c r="F46" s="8" t="s">
        <v>164</v>
      </c>
      <c r="G46" s="83">
        <v>91000</v>
      </c>
      <c r="H46" s="11">
        <f>G46-D46</f>
        <v>0</v>
      </c>
      <c r="I46" s="83"/>
      <c r="J46" s="83">
        <v>91000</v>
      </c>
      <c r="K46" s="11">
        <f t="shared" si="6"/>
        <v>0</v>
      </c>
      <c r="L46" s="83"/>
      <c r="M46" s="83">
        <v>91000</v>
      </c>
      <c r="N46" s="52">
        <f t="shared" si="7"/>
        <v>0</v>
      </c>
    </row>
    <row r="47" spans="1:14" x14ac:dyDescent="0.25">
      <c r="A47" s="24" t="s">
        <v>54</v>
      </c>
      <c r="B47" s="19"/>
      <c r="C47" s="19"/>
      <c r="D47" s="11"/>
      <c r="G47" s="83"/>
      <c r="H47" s="83"/>
      <c r="I47" s="83"/>
      <c r="J47" s="83"/>
      <c r="K47" s="11">
        <f t="shared" si="6"/>
        <v>0</v>
      </c>
      <c r="L47" s="83"/>
      <c r="M47" s="83"/>
      <c r="N47" s="52">
        <f t="shared" si="7"/>
        <v>0</v>
      </c>
    </row>
    <row r="48" spans="1:14" x14ac:dyDescent="0.25">
      <c r="A48" s="24" t="s">
        <v>55</v>
      </c>
      <c r="B48" s="19">
        <v>10600</v>
      </c>
      <c r="C48" s="19">
        <v>11500</v>
      </c>
      <c r="D48" s="11">
        <f>+C48*1.02</f>
        <v>11730</v>
      </c>
      <c r="E48" s="11">
        <f>D48-C48</f>
        <v>230</v>
      </c>
      <c r="G48" s="83">
        <f>D48*1.02</f>
        <v>11964.6</v>
      </c>
      <c r="H48" s="11">
        <f>G48-D48</f>
        <v>234.60000000000036</v>
      </c>
      <c r="I48" s="83"/>
      <c r="J48" s="83">
        <f>G48*1.02</f>
        <v>12203.892</v>
      </c>
      <c r="K48" s="11">
        <f t="shared" si="6"/>
        <v>239.29199999999946</v>
      </c>
      <c r="L48" s="83"/>
      <c r="M48" s="83">
        <f>J48*1.02</f>
        <v>12447.96984</v>
      </c>
      <c r="N48" s="52">
        <f t="shared" si="7"/>
        <v>244.07783999999992</v>
      </c>
    </row>
    <row r="49" spans="1:15" x14ac:dyDescent="0.25">
      <c r="A49" s="9" t="s">
        <v>56</v>
      </c>
      <c r="B49" s="19"/>
      <c r="C49" s="19"/>
      <c r="D49" s="11"/>
      <c r="G49" s="83"/>
      <c r="H49" s="83"/>
      <c r="I49" s="83"/>
      <c r="J49" s="83"/>
      <c r="K49" s="11">
        <f t="shared" si="6"/>
        <v>0</v>
      </c>
      <c r="L49" s="83"/>
      <c r="M49" s="83"/>
      <c r="N49" s="52">
        <f t="shared" si="7"/>
        <v>0</v>
      </c>
    </row>
    <row r="50" spans="1:15" s="23" customFormat="1" x14ac:dyDescent="0.25">
      <c r="A50" s="21" t="s">
        <v>57</v>
      </c>
      <c r="B50" s="87">
        <f>SUM(B40:B49)</f>
        <v>773013</v>
      </c>
      <c r="C50" s="87">
        <f t="shared" ref="C50:O50" si="8">SUM(C40:C49)</f>
        <v>628415.98</v>
      </c>
      <c r="D50" s="87">
        <f t="shared" si="8"/>
        <v>637904.29960000003</v>
      </c>
      <c r="E50" s="87">
        <f t="shared" si="8"/>
        <v>9488.319599999988</v>
      </c>
      <c r="F50" s="87">
        <f t="shared" si="8"/>
        <v>0</v>
      </c>
      <c r="G50" s="87">
        <f t="shared" si="8"/>
        <v>647582.38559199998</v>
      </c>
      <c r="H50" s="87">
        <f t="shared" si="8"/>
        <v>9678.0859920000094</v>
      </c>
      <c r="I50" s="87">
        <f t="shared" si="8"/>
        <v>0</v>
      </c>
      <c r="J50" s="87">
        <f t="shared" si="8"/>
        <v>657454.03330384009</v>
      </c>
      <c r="K50" s="87">
        <f t="shared" si="8"/>
        <v>9871.6477118400053</v>
      </c>
      <c r="L50" s="87">
        <f t="shared" si="8"/>
        <v>0</v>
      </c>
      <c r="M50" s="87">
        <f t="shared" si="8"/>
        <v>667523.11396991671</v>
      </c>
      <c r="N50" s="87">
        <f t="shared" si="8"/>
        <v>10069.080666076783</v>
      </c>
      <c r="O50" s="87">
        <f t="shared" si="8"/>
        <v>0</v>
      </c>
    </row>
    <row r="51" spans="1:15" x14ac:dyDescent="0.25">
      <c r="A51" s="9"/>
      <c r="B51" s="19"/>
      <c r="C51" s="19"/>
    </row>
    <row r="52" spans="1:15" ht="25.2" customHeight="1" x14ac:dyDescent="0.25">
      <c r="A52" s="9" t="s">
        <v>58</v>
      </c>
      <c r="B52" s="19"/>
      <c r="C52" s="19"/>
    </row>
    <row r="53" spans="1:15" x14ac:dyDescent="0.25">
      <c r="A53" s="9" t="s">
        <v>59</v>
      </c>
      <c r="B53" s="19"/>
      <c r="C53" s="19"/>
      <c r="D53" s="11"/>
    </row>
    <row r="54" spans="1:15" x14ac:dyDescent="0.25">
      <c r="A54" s="9" t="s">
        <v>60</v>
      </c>
      <c r="B54" s="19">
        <f>19380+45000</f>
        <v>64380</v>
      </c>
      <c r="C54" s="19">
        <v>18555</v>
      </c>
      <c r="D54" s="11">
        <f>C54*1.02</f>
        <v>18926.099999999999</v>
      </c>
      <c r="E54" s="11">
        <f>D54-C54</f>
        <v>371.09999999999854</v>
      </c>
      <c r="G54" s="88">
        <f>D54*1.02</f>
        <v>19304.621999999999</v>
      </c>
      <c r="H54" s="11">
        <f>G54-D54</f>
        <v>378.52200000000084</v>
      </c>
      <c r="I54" s="88"/>
      <c r="J54" s="88">
        <f>G54*1.02</f>
        <v>19690.71444</v>
      </c>
      <c r="K54" s="11">
        <f>J54-G54</f>
        <v>386.09244000000035</v>
      </c>
      <c r="L54" s="88"/>
      <c r="M54" s="88">
        <f>J54*1.02</f>
        <v>20084.5287288</v>
      </c>
      <c r="N54" s="52">
        <f>M54-J54</f>
        <v>393.81428880000021</v>
      </c>
    </row>
    <row r="55" spans="1:15" x14ac:dyDescent="0.25">
      <c r="A55" s="9" t="s">
        <v>61</v>
      </c>
      <c r="B55" s="19"/>
      <c r="C55" s="18"/>
      <c r="K55" s="11">
        <f>J55-G55</f>
        <v>0</v>
      </c>
      <c r="N55" s="52">
        <f>M55-J55</f>
        <v>0</v>
      </c>
    </row>
    <row r="56" spans="1:15" x14ac:dyDescent="0.25">
      <c r="A56" s="9" t="s">
        <v>62</v>
      </c>
      <c r="B56" s="19">
        <v>34000</v>
      </c>
      <c r="C56" s="19">
        <v>34000</v>
      </c>
      <c r="D56" s="11">
        <f>C56*1.02</f>
        <v>34680</v>
      </c>
      <c r="E56" s="11">
        <f>D56-C56</f>
        <v>680</v>
      </c>
      <c r="F56" s="8" t="s">
        <v>165</v>
      </c>
      <c r="G56" s="11">
        <f>D56*1.02</f>
        <v>35373.599999999999</v>
      </c>
      <c r="H56" s="11">
        <f>G56-D56</f>
        <v>693.59999999999854</v>
      </c>
      <c r="J56" s="11">
        <f>G56*1.02</f>
        <v>36081.072</v>
      </c>
      <c r="K56" s="11">
        <f>J56-G56</f>
        <v>707.47200000000157</v>
      </c>
      <c r="M56" s="11">
        <f>J56*1.02</f>
        <v>36802.693440000003</v>
      </c>
      <c r="N56" s="52">
        <f>M56-J56</f>
        <v>721.62144000000262</v>
      </c>
    </row>
    <row r="57" spans="1:15" x14ac:dyDescent="0.25">
      <c r="A57" s="9" t="s">
        <v>63</v>
      </c>
      <c r="B57" s="19">
        <v>231580</v>
      </c>
      <c r="C57" s="19">
        <v>240000</v>
      </c>
      <c r="D57" s="11">
        <f>125000+(115000*1.02)</f>
        <v>242300</v>
      </c>
      <c r="E57" s="11">
        <f>D57-C57</f>
        <v>2300</v>
      </c>
      <c r="F57" s="8" t="s">
        <v>166</v>
      </c>
      <c r="G57" s="11">
        <f>125000+((242300-125000)*1.02)</f>
        <v>244646</v>
      </c>
      <c r="H57" s="11">
        <f>G57-D57</f>
        <v>2346</v>
      </c>
      <c r="J57" s="11">
        <f>125000+((244646-125000)*1.02)</f>
        <v>247038.91999999998</v>
      </c>
      <c r="K57" s="11">
        <f>J57-G57</f>
        <v>2392.9199999999837</v>
      </c>
      <c r="M57" s="11">
        <f>125000+((247039-125000)*1.02)</f>
        <v>249479.78</v>
      </c>
      <c r="N57" s="52">
        <f>M57-J57</f>
        <v>2440.8600000000151</v>
      </c>
    </row>
    <row r="58" spans="1:15" s="23" customFormat="1" x14ac:dyDescent="0.25">
      <c r="A58" s="21" t="s">
        <v>64</v>
      </c>
      <c r="B58" s="87">
        <f>SUM(B53:B57)</f>
        <v>329960</v>
      </c>
      <c r="C58" s="87">
        <f t="shared" ref="C58:O58" si="9">SUM(C53:C57)</f>
        <v>292555</v>
      </c>
      <c r="D58" s="87">
        <f t="shared" si="9"/>
        <v>295906.09999999998</v>
      </c>
      <c r="E58" s="87">
        <f t="shared" si="9"/>
        <v>3351.0999999999985</v>
      </c>
      <c r="F58" s="87">
        <f t="shared" si="9"/>
        <v>0</v>
      </c>
      <c r="G58" s="87">
        <f t="shared" si="9"/>
        <v>299324.22200000001</v>
      </c>
      <c r="H58" s="87">
        <f t="shared" si="9"/>
        <v>3418.1219999999994</v>
      </c>
      <c r="I58" s="87">
        <f t="shared" si="9"/>
        <v>0</v>
      </c>
      <c r="J58" s="87">
        <f t="shared" si="9"/>
        <v>302810.70643999998</v>
      </c>
      <c r="K58" s="87">
        <f t="shared" si="9"/>
        <v>3486.4844399999856</v>
      </c>
      <c r="L58" s="87">
        <f t="shared" si="9"/>
        <v>0</v>
      </c>
      <c r="M58" s="87">
        <f t="shared" si="9"/>
        <v>306367.00216879998</v>
      </c>
      <c r="N58" s="87">
        <f t="shared" si="9"/>
        <v>3556.295728800018</v>
      </c>
      <c r="O58" s="87">
        <f t="shared" si="9"/>
        <v>0</v>
      </c>
    </row>
    <row r="59" spans="1:15" x14ac:dyDescent="0.25">
      <c r="A59" s="9"/>
      <c r="B59" s="19"/>
      <c r="C59" s="19"/>
    </row>
    <row r="60" spans="1:15" x14ac:dyDescent="0.25">
      <c r="A60" s="24" t="s">
        <v>65</v>
      </c>
      <c r="B60" s="19"/>
      <c r="C60" s="19"/>
      <c r="D60" s="11"/>
    </row>
    <row r="61" spans="1:15" x14ac:dyDescent="0.25">
      <c r="A61" s="24" t="s">
        <v>66</v>
      </c>
      <c r="B61" s="19"/>
      <c r="C61" s="19"/>
    </row>
    <row r="62" spans="1:15" s="23" customFormat="1" x14ac:dyDescent="0.25">
      <c r="A62" s="21" t="s">
        <v>67</v>
      </c>
      <c r="B62" s="87">
        <f>+B58+B50+B37+B32</f>
        <v>5751088</v>
      </c>
      <c r="C62" s="87">
        <f>+C58+C50+C37+C32</f>
        <v>5389834.6199999992</v>
      </c>
      <c r="D62" s="87">
        <f t="shared" ref="D62:O62" si="10">+D58+D50+D37+D32</f>
        <v>5554053.3996000001</v>
      </c>
      <c r="E62" s="87">
        <f t="shared" si="10"/>
        <v>164218.77960000033</v>
      </c>
      <c r="F62" s="87">
        <f t="shared" si="10"/>
        <v>0</v>
      </c>
      <c r="G62" s="87">
        <f t="shared" si="10"/>
        <v>5666520.2075920003</v>
      </c>
      <c r="H62" s="87">
        <f t="shared" si="10"/>
        <v>112466.80799200002</v>
      </c>
      <c r="I62" s="87">
        <f t="shared" si="10"/>
        <v>0</v>
      </c>
      <c r="J62" s="87">
        <f t="shared" si="10"/>
        <v>5772254.4517438402</v>
      </c>
      <c r="K62" s="87">
        <f t="shared" si="10"/>
        <v>105734.24415183999</v>
      </c>
      <c r="L62" s="87">
        <f t="shared" si="10"/>
        <v>0</v>
      </c>
      <c r="M62" s="87">
        <f t="shared" si="10"/>
        <v>5859166.382378717</v>
      </c>
      <c r="N62" s="87">
        <f t="shared" si="10"/>
        <v>86911.9306348768</v>
      </c>
      <c r="O62" s="87">
        <f t="shared" si="10"/>
        <v>0</v>
      </c>
    </row>
    <row r="63" spans="1:15" x14ac:dyDescent="0.25">
      <c r="A63" s="9"/>
      <c r="B63" s="19"/>
      <c r="C63" s="19"/>
    </row>
    <row r="64" spans="1:15" ht="33" customHeight="1" x14ac:dyDescent="0.25">
      <c r="A64" s="26" t="s">
        <v>68</v>
      </c>
      <c r="B64" s="19">
        <f>+B23-B62</f>
        <v>841</v>
      </c>
      <c r="C64" s="19">
        <f>+C23-C62</f>
        <v>222670.38000000082</v>
      </c>
      <c r="D64" s="19">
        <f>+D23-D62</f>
        <v>58451.600399999879</v>
      </c>
      <c r="E64" s="11"/>
      <c r="G64" s="19">
        <f>+G23-G62</f>
        <v>-54015.207592000253</v>
      </c>
      <c r="H64" s="11"/>
      <c r="J64" s="19">
        <f>+J23-J62</f>
        <v>-104524.40174383949</v>
      </c>
      <c r="M64" s="19">
        <f>+M23-M62</f>
        <v>-135659.03187871631</v>
      </c>
    </row>
    <row r="65" spans="1:4" ht="25.2" customHeight="1" x14ac:dyDescent="0.25">
      <c r="A65" s="27" t="s">
        <v>69</v>
      </c>
      <c r="C65" s="18"/>
    </row>
    <row r="66" spans="1:4" x14ac:dyDescent="0.25">
      <c r="A66" s="13" t="s">
        <v>70</v>
      </c>
      <c r="C66" s="18"/>
      <c r="D66" s="11"/>
    </row>
    <row r="67" spans="1:4" x14ac:dyDescent="0.25">
      <c r="A67" s="13" t="s">
        <v>71</v>
      </c>
      <c r="B67" s="11" t="s">
        <v>167</v>
      </c>
      <c r="C67" s="19"/>
      <c r="D67" s="11"/>
    </row>
    <row r="68" spans="1:4" x14ac:dyDescent="0.25">
      <c r="A68" s="13" t="s">
        <v>72</v>
      </c>
      <c r="C68" s="19"/>
      <c r="D68" s="11"/>
    </row>
    <row r="69" spans="1:4" x14ac:dyDescent="0.25">
      <c r="A69" s="13" t="s">
        <v>73</v>
      </c>
      <c r="C69" s="18"/>
      <c r="D69" s="11"/>
    </row>
    <row r="70" spans="1:4" x14ac:dyDescent="0.25">
      <c r="A70" s="13" t="s">
        <v>73</v>
      </c>
      <c r="C70" s="19"/>
    </row>
    <row r="71" spans="1:4" x14ac:dyDescent="0.25">
      <c r="A71" s="13" t="s">
        <v>73</v>
      </c>
      <c r="C71" s="18"/>
    </row>
    <row r="72" spans="1:4" s="23" customFormat="1" ht="25.2" customHeight="1" x14ac:dyDescent="0.25">
      <c r="A72" s="28" t="s">
        <v>74</v>
      </c>
      <c r="B72" s="89"/>
      <c r="C72" s="89"/>
      <c r="D72" s="89"/>
    </row>
    <row r="73" spans="1:4" x14ac:dyDescent="0.25">
      <c r="A73" s="13" t="s">
        <v>75</v>
      </c>
    </row>
    <row r="74" spans="1:4" s="16" customFormat="1" ht="45.75" customHeight="1" thickBot="1" x14ac:dyDescent="0.3">
      <c r="A74" s="30" t="s">
        <v>76</v>
      </c>
      <c r="B74" s="84"/>
      <c r="C74" s="90"/>
      <c r="D74" s="90"/>
    </row>
    <row r="75" spans="1:4" ht="14.4" thickTop="1" x14ac:dyDescent="0.25"/>
    <row r="76" spans="1:4" x14ac:dyDescent="0.25">
      <c r="A76" s="31" t="s">
        <v>77</v>
      </c>
      <c r="D76" s="11"/>
    </row>
    <row r="77" spans="1:4" x14ac:dyDescent="0.25">
      <c r="A77" s="13" t="s">
        <v>78</v>
      </c>
      <c r="D77" s="11"/>
    </row>
    <row r="78" spans="1:4" x14ac:dyDescent="0.25">
      <c r="A78" s="13" t="s">
        <v>79</v>
      </c>
      <c r="D78" s="11"/>
    </row>
    <row r="79" spans="1:4" x14ac:dyDescent="0.25">
      <c r="A79" s="13" t="s">
        <v>80</v>
      </c>
      <c r="D79" s="25"/>
    </row>
    <row r="80" spans="1:4" x14ac:dyDescent="0.25">
      <c r="C80" s="25"/>
      <c r="D80" s="11"/>
    </row>
    <row r="81" spans="1:4" x14ac:dyDescent="0.25">
      <c r="D81" s="11"/>
    </row>
    <row r="82" spans="1:4" x14ac:dyDescent="0.25">
      <c r="A82" s="31" t="s">
        <v>81</v>
      </c>
      <c r="D82" s="11"/>
    </row>
    <row r="83" spans="1:4" x14ac:dyDescent="0.25">
      <c r="D83" s="11"/>
    </row>
    <row r="84" spans="1:4" x14ac:dyDescent="0.25">
      <c r="A84" s="13" t="s">
        <v>82</v>
      </c>
      <c r="C84" s="19"/>
      <c r="D84" s="11"/>
    </row>
    <row r="85" spans="1:4" x14ac:dyDescent="0.25">
      <c r="A85" s="13" t="s">
        <v>83</v>
      </c>
      <c r="C85" s="32"/>
      <c r="D85" s="11"/>
    </row>
    <row r="86" spans="1:4" x14ac:dyDescent="0.25">
      <c r="A86" s="13" t="s">
        <v>43</v>
      </c>
      <c r="D86" s="11"/>
    </row>
    <row r="87" spans="1:4" x14ac:dyDescent="0.25">
      <c r="D87" s="11"/>
    </row>
    <row r="88" spans="1:4" x14ac:dyDescent="0.25">
      <c r="A88" s="13" t="s">
        <v>84</v>
      </c>
      <c r="D88" s="11"/>
    </row>
    <row r="89" spans="1:4" x14ac:dyDescent="0.25">
      <c r="A89" s="13" t="s">
        <v>85</v>
      </c>
      <c r="D89" s="25"/>
    </row>
    <row r="90" spans="1:4" x14ac:dyDescent="0.25">
      <c r="A90" s="9" t="s">
        <v>47</v>
      </c>
      <c r="C90" s="25"/>
      <c r="D90" s="11"/>
    </row>
    <row r="91" spans="1:4" x14ac:dyDescent="0.25">
      <c r="C91" s="25"/>
      <c r="D91" s="11"/>
    </row>
    <row r="92" spans="1:4" x14ac:dyDescent="0.25">
      <c r="A92" s="13" t="s">
        <v>86</v>
      </c>
      <c r="D92" s="11"/>
    </row>
    <row r="93" spans="1:4" x14ac:dyDescent="0.25">
      <c r="A93" s="13" t="s">
        <v>87</v>
      </c>
      <c r="D93" s="11"/>
    </row>
    <row r="94" spans="1:4" x14ac:dyDescent="0.25">
      <c r="A94" s="13" t="s">
        <v>88</v>
      </c>
      <c r="D94" s="25"/>
    </row>
    <row r="95" spans="1:4" x14ac:dyDescent="0.25">
      <c r="A95" s="13" t="s">
        <v>89</v>
      </c>
      <c r="D95" s="11"/>
    </row>
    <row r="96" spans="1:4" x14ac:dyDescent="0.25">
      <c r="A96" s="13" t="s">
        <v>90</v>
      </c>
      <c r="C96" s="25"/>
      <c r="D96" s="11"/>
    </row>
    <row r="97" spans="1:4" x14ac:dyDescent="0.25">
      <c r="D97" s="11"/>
    </row>
    <row r="98" spans="1:4" x14ac:dyDescent="0.25">
      <c r="A98" s="13" t="s">
        <v>56</v>
      </c>
      <c r="D98" s="11"/>
    </row>
    <row r="99" spans="1:4" x14ac:dyDescent="0.25">
      <c r="D99" s="11"/>
    </row>
    <row r="100" spans="1:4" x14ac:dyDescent="0.25">
      <c r="A100" s="13" t="s">
        <v>91</v>
      </c>
      <c r="C100" s="25"/>
      <c r="D100" s="25"/>
    </row>
    <row r="101" spans="1:4" x14ac:dyDescent="0.25">
      <c r="A101" s="13" t="s">
        <v>92</v>
      </c>
      <c r="D101" s="11"/>
    </row>
    <row r="102" spans="1:4" x14ac:dyDescent="0.25">
      <c r="D102" s="11"/>
    </row>
    <row r="103" spans="1:4" x14ac:dyDescent="0.25">
      <c r="A103" s="13" t="s">
        <v>62</v>
      </c>
      <c r="D103" s="11"/>
    </row>
    <row r="104" spans="1:4" x14ac:dyDescent="0.25">
      <c r="D104" s="11"/>
    </row>
    <row r="105" spans="1:4" x14ac:dyDescent="0.25">
      <c r="A105" s="13" t="s">
        <v>93</v>
      </c>
      <c r="D105" s="11"/>
    </row>
    <row r="106" spans="1:4" x14ac:dyDescent="0.25">
      <c r="A106" s="13" t="s">
        <v>94</v>
      </c>
      <c r="D106" s="25"/>
    </row>
    <row r="108" spans="1:4" x14ac:dyDescent="0.25">
      <c r="A108" s="13" t="s">
        <v>52</v>
      </c>
      <c r="C108" s="25"/>
    </row>
    <row r="110" spans="1:4" x14ac:dyDescent="0.25">
      <c r="A110" s="33" t="s">
        <v>77</v>
      </c>
    </row>
    <row r="111" spans="1:4" x14ac:dyDescent="0.25">
      <c r="A111" s="34" t="s">
        <v>95</v>
      </c>
      <c r="C111" s="8"/>
      <c r="D111" s="11"/>
    </row>
    <row r="112" spans="1:4" x14ac:dyDescent="0.25">
      <c r="A112" s="34" t="s">
        <v>96</v>
      </c>
      <c r="C112" s="8"/>
      <c r="D112" s="11"/>
    </row>
    <row r="113" spans="1:4" x14ac:dyDescent="0.25">
      <c r="A113" s="35" t="s">
        <v>27</v>
      </c>
      <c r="C113" s="8"/>
      <c r="D113" s="25"/>
    </row>
    <row r="114" spans="1:4" x14ac:dyDescent="0.25">
      <c r="A114" s="34"/>
      <c r="C114" s="8"/>
      <c r="D114" s="11"/>
    </row>
    <row r="115" spans="1:4" x14ac:dyDescent="0.25">
      <c r="A115" s="33" t="s">
        <v>97</v>
      </c>
      <c r="C115" s="8"/>
      <c r="D115" s="11"/>
    </row>
    <row r="116" spans="1:4" x14ac:dyDescent="0.25">
      <c r="A116" s="34" t="s">
        <v>98</v>
      </c>
      <c r="C116" s="8"/>
      <c r="D116" s="11"/>
    </row>
    <row r="117" spans="1:4" x14ac:dyDescent="0.25">
      <c r="A117" s="34" t="s">
        <v>88</v>
      </c>
      <c r="C117" s="8"/>
      <c r="D117" s="11"/>
    </row>
    <row r="118" spans="1:4" x14ac:dyDescent="0.25">
      <c r="A118" s="34" t="s">
        <v>86</v>
      </c>
      <c r="C118" s="8"/>
      <c r="D118" s="11"/>
    </row>
    <row r="119" spans="1:4" x14ac:dyDescent="0.25">
      <c r="A119" s="34" t="s">
        <v>99</v>
      </c>
      <c r="D119" s="11"/>
    </row>
    <row r="120" spans="1:4" x14ac:dyDescent="0.25">
      <c r="A120" s="34" t="s">
        <v>100</v>
      </c>
      <c r="D120" s="11"/>
    </row>
    <row r="121" spans="1:4" x14ac:dyDescent="0.25">
      <c r="A121" s="34" t="s">
        <v>101</v>
      </c>
      <c r="D121" s="11"/>
    </row>
    <row r="122" spans="1:4" x14ac:dyDescent="0.25">
      <c r="A122" s="34"/>
      <c r="D122" s="11"/>
    </row>
    <row r="123" spans="1:4" x14ac:dyDescent="0.25">
      <c r="A123" s="36" t="s">
        <v>102</v>
      </c>
      <c r="D123" s="25"/>
    </row>
    <row r="124" spans="1:4" x14ac:dyDescent="0.25">
      <c r="A124" s="34"/>
      <c r="D124" s="11"/>
    </row>
    <row r="125" spans="1:4" x14ac:dyDescent="0.25">
      <c r="A125" s="34" t="s">
        <v>103</v>
      </c>
      <c r="D125" s="11"/>
    </row>
    <row r="126" spans="1:4" x14ac:dyDescent="0.25">
      <c r="A126" s="34" t="s">
        <v>85</v>
      </c>
      <c r="D126" s="11"/>
    </row>
    <row r="127" spans="1:4" x14ac:dyDescent="0.25">
      <c r="A127" s="34"/>
      <c r="D127" s="11"/>
    </row>
    <row r="128" spans="1:4" x14ac:dyDescent="0.25">
      <c r="A128" s="26" t="s">
        <v>47</v>
      </c>
      <c r="D128" s="25"/>
    </row>
    <row r="129" spans="1:4" x14ac:dyDescent="0.25">
      <c r="A129" s="34"/>
      <c r="D129" s="11"/>
    </row>
    <row r="130" spans="1:4" x14ac:dyDescent="0.25">
      <c r="A130" s="34" t="s">
        <v>104</v>
      </c>
      <c r="D130" s="11"/>
    </row>
    <row r="131" spans="1:4" x14ac:dyDescent="0.25">
      <c r="A131" s="34" t="s">
        <v>105</v>
      </c>
      <c r="D131" s="11"/>
    </row>
    <row r="132" spans="1:4" x14ac:dyDescent="0.25">
      <c r="A132" s="34" t="s">
        <v>106</v>
      </c>
      <c r="D132" s="11"/>
    </row>
    <row r="133" spans="1:4" x14ac:dyDescent="0.25">
      <c r="A133" s="34"/>
      <c r="D133" s="11"/>
    </row>
    <row r="134" spans="1:4" x14ac:dyDescent="0.25">
      <c r="A134" s="26" t="s">
        <v>49</v>
      </c>
      <c r="D134" s="25"/>
    </row>
    <row r="135" spans="1:4" x14ac:dyDescent="0.25">
      <c r="A135" s="34"/>
      <c r="D135" s="11"/>
    </row>
    <row r="136" spans="1:4" x14ac:dyDescent="0.25">
      <c r="A136" s="34" t="s">
        <v>107</v>
      </c>
      <c r="D136" s="11"/>
    </row>
    <row r="137" spans="1:4" x14ac:dyDescent="0.25">
      <c r="A137" s="34" t="s">
        <v>108</v>
      </c>
      <c r="D137" s="11"/>
    </row>
    <row r="138" spans="1:4" x14ac:dyDescent="0.25">
      <c r="A138" s="34" t="s">
        <v>94</v>
      </c>
      <c r="D138" s="11"/>
    </row>
    <row r="139" spans="1:4" x14ac:dyDescent="0.25">
      <c r="A139" s="34"/>
      <c r="D139" s="11"/>
    </row>
    <row r="140" spans="1:4" x14ac:dyDescent="0.25">
      <c r="A140" s="26" t="s">
        <v>52</v>
      </c>
      <c r="D140" s="25"/>
    </row>
  </sheetData>
  <pageMargins left="0.7" right="0.7" top="0.93452380952380953" bottom="0.75" header="0.3" footer="0.3"/>
  <pageSetup scale="62" orientation="portrait" horizontalDpi="4294967295" verticalDpi="4294967295" r:id="rId1"/>
  <headerFooter>
    <oddFooter>&amp;CCentre for Organizational Effectiveness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5:AC195"/>
  <sheetViews>
    <sheetView topLeftCell="A5" workbookViewId="0">
      <pane xSplit="1" ySplit="13" topLeftCell="I76" activePane="bottomRight" state="frozen"/>
      <selection activeCell="A5" sqref="A5"/>
      <selection pane="topRight" activeCell="B5" sqref="B5"/>
      <selection pane="bottomLeft" activeCell="A18" sqref="A18"/>
      <selection pane="bottomRight" activeCell="M100" sqref="M100"/>
    </sheetView>
  </sheetViews>
  <sheetFormatPr defaultColWidth="9.33203125" defaultRowHeight="13.8" outlineLevelRow="1" outlineLevelCol="1" x14ac:dyDescent="0.25"/>
  <cols>
    <col min="1" max="1" width="60.6640625" style="8" bestFit="1" customWidth="1"/>
    <col min="2" max="2" width="14.44140625" style="8" customWidth="1"/>
    <col min="3" max="4" width="13.33203125" style="8" hidden="1" customWidth="1" outlineLevel="1"/>
    <col min="5" max="5" width="10.6640625" style="8" hidden="1" customWidth="1" outlineLevel="1"/>
    <col min="6" max="6" width="9.6640625" style="8" hidden="1" customWidth="1" outlineLevel="1"/>
    <col min="7" max="7" width="9.44140625" style="8" hidden="1" customWidth="1" outlineLevel="1"/>
    <col min="8" max="8" width="12.6640625" style="8" hidden="1" customWidth="1" outlineLevel="1"/>
    <col min="9" max="9" width="14.6640625" style="8" bestFit="1" customWidth="1" collapsed="1"/>
    <col min="10" max="11" width="8" style="8" bestFit="1" customWidth="1"/>
    <col min="12" max="12" width="6" style="8" bestFit="1" customWidth="1"/>
    <col min="13" max="13" width="14.6640625" style="8" bestFit="1" customWidth="1"/>
    <col min="14" max="15" width="8" style="8" bestFit="1" customWidth="1"/>
    <col min="16" max="16" width="6" style="8" bestFit="1" customWidth="1"/>
    <col min="17" max="17" width="14.6640625" style="8" bestFit="1" customWidth="1"/>
    <col min="18" max="19" width="8" style="8" bestFit="1" customWidth="1"/>
    <col min="20" max="20" width="6" style="8" bestFit="1" customWidth="1"/>
    <col min="21" max="21" width="14.6640625" style="8" bestFit="1" customWidth="1"/>
    <col min="22" max="23" width="8" style="8" bestFit="1" customWidth="1"/>
    <col min="24" max="24" width="6" style="8" bestFit="1" customWidth="1"/>
    <col min="25" max="25" width="14.6640625" style="8" bestFit="1" customWidth="1"/>
    <col min="26" max="27" width="8" style="8" bestFit="1" customWidth="1"/>
    <col min="28" max="28" width="6" style="8" bestFit="1" customWidth="1"/>
    <col min="29" max="29" width="14.6640625" style="8" bestFit="1" customWidth="1"/>
    <col min="30" max="16384" width="9.33203125" style="8"/>
  </cols>
  <sheetData>
    <row r="5" spans="1:29" ht="41.4" x14ac:dyDescent="0.25">
      <c r="A5" s="37"/>
      <c r="B5" s="38" t="s">
        <v>151</v>
      </c>
      <c r="C5" s="39" t="s">
        <v>109</v>
      </c>
      <c r="D5" s="39" t="s">
        <v>109</v>
      </c>
      <c r="E5" s="39" t="s">
        <v>109</v>
      </c>
      <c r="F5" s="39" t="s">
        <v>109</v>
      </c>
      <c r="G5" s="39" t="s">
        <v>109</v>
      </c>
      <c r="H5" s="39" t="s">
        <v>109</v>
      </c>
      <c r="I5" s="38" t="s">
        <v>152</v>
      </c>
      <c r="J5" s="40" t="s">
        <v>110</v>
      </c>
      <c r="K5" s="41" t="s">
        <v>111</v>
      </c>
      <c r="L5" s="41" t="s">
        <v>112</v>
      </c>
      <c r="M5" s="38" t="s">
        <v>153</v>
      </c>
      <c r="N5" s="40" t="s">
        <v>113</v>
      </c>
      <c r="O5" s="41" t="s">
        <v>114</v>
      </c>
      <c r="P5" s="41" t="s">
        <v>115</v>
      </c>
      <c r="Q5" s="38" t="s">
        <v>154</v>
      </c>
      <c r="R5" s="40" t="s">
        <v>116</v>
      </c>
      <c r="S5" s="41" t="s">
        <v>117</v>
      </c>
      <c r="T5" s="41" t="s">
        <v>118</v>
      </c>
      <c r="U5" s="38" t="s">
        <v>155</v>
      </c>
      <c r="V5" s="40" t="s">
        <v>119</v>
      </c>
      <c r="W5" s="41" t="s">
        <v>120</v>
      </c>
      <c r="X5" s="41" t="s">
        <v>121</v>
      </c>
      <c r="Y5" s="38" t="s">
        <v>156</v>
      </c>
      <c r="Z5" s="40" t="s">
        <v>122</v>
      </c>
      <c r="AA5" s="41" t="s">
        <v>123</v>
      </c>
      <c r="AB5" s="41" t="s">
        <v>124</v>
      </c>
      <c r="AC5" s="38" t="s">
        <v>157</v>
      </c>
    </row>
    <row r="6" spans="1:29" ht="27.6" hidden="1" outlineLevel="1" x14ac:dyDescent="0.25">
      <c r="A6" s="37"/>
      <c r="B6" s="37"/>
      <c r="C6" s="42" t="s">
        <v>125</v>
      </c>
      <c r="D6" s="42" t="s">
        <v>126</v>
      </c>
      <c r="E6" s="42" t="s">
        <v>127</v>
      </c>
      <c r="F6" s="43" t="s">
        <v>158</v>
      </c>
      <c r="G6" s="42" t="s">
        <v>129</v>
      </c>
      <c r="H6" s="42" t="s">
        <v>130</v>
      </c>
    </row>
    <row r="7" spans="1:29" hidden="1" outlineLevel="1" x14ac:dyDescent="0.25">
      <c r="A7" s="37" t="s">
        <v>131</v>
      </c>
      <c r="B7" s="37"/>
      <c r="C7" s="44"/>
      <c r="D7" s="44"/>
      <c r="E7" s="44"/>
      <c r="F7" s="44"/>
      <c r="G7" s="44"/>
      <c r="H7" s="44"/>
    </row>
    <row r="8" spans="1:29" hidden="1" outlineLevel="1" x14ac:dyDescent="0.25">
      <c r="A8" s="37"/>
      <c r="B8" s="37"/>
      <c r="C8" s="44"/>
      <c r="D8" s="44"/>
      <c r="E8" s="44"/>
      <c r="F8" s="44"/>
      <c r="G8" s="44"/>
      <c r="H8" s="44"/>
    </row>
    <row r="9" spans="1:29" hidden="1" outlineLevel="1" x14ac:dyDescent="0.25">
      <c r="A9" s="45" t="s">
        <v>77</v>
      </c>
      <c r="B9" s="45"/>
      <c r="C9" s="46">
        <v>4137140.7500000005</v>
      </c>
      <c r="D9" s="46"/>
      <c r="E9" s="46">
        <v>292171</v>
      </c>
      <c r="F9" s="46">
        <v>209271</v>
      </c>
      <c r="G9" s="46">
        <v>223796.93999999997</v>
      </c>
      <c r="H9" s="46">
        <f>SUM(C9:G9)</f>
        <v>4862379.6900000004</v>
      </c>
    </row>
    <row r="10" spans="1:29" hidden="1" outlineLevel="1" x14ac:dyDescent="0.25">
      <c r="A10" s="45"/>
      <c r="B10" s="45"/>
      <c r="C10" s="46"/>
      <c r="D10" s="46"/>
      <c r="E10" s="46"/>
      <c r="F10" s="46"/>
      <c r="G10" s="46"/>
      <c r="H10" s="46"/>
    </row>
    <row r="11" spans="1:29" hidden="1" outlineLevel="1" x14ac:dyDescent="0.25">
      <c r="A11" s="45" t="s">
        <v>132</v>
      </c>
      <c r="B11" s="45"/>
      <c r="C11" s="46">
        <v>3313783.1404230767</v>
      </c>
      <c r="D11" s="46"/>
      <c r="E11" s="46"/>
      <c r="F11" s="46">
        <v>205437</v>
      </c>
      <c r="G11" s="46">
        <v>166582.27230769233</v>
      </c>
      <c r="H11" s="46">
        <f>SUM(C11:G11)</f>
        <v>3685802.4127307693</v>
      </c>
    </row>
    <row r="12" spans="1:29" hidden="1" outlineLevel="1" x14ac:dyDescent="0.25">
      <c r="A12" s="45" t="s">
        <v>133</v>
      </c>
      <c r="B12" s="45"/>
      <c r="C12" s="46"/>
      <c r="D12" s="47"/>
      <c r="E12" s="47"/>
      <c r="F12" s="47"/>
      <c r="G12" s="47"/>
      <c r="H12" s="46">
        <f>SUM(C12:G12)</f>
        <v>0</v>
      </c>
    </row>
    <row r="13" spans="1:29" hidden="1" outlineLevel="1" x14ac:dyDescent="0.25">
      <c r="A13" s="45" t="s">
        <v>134</v>
      </c>
      <c r="B13" s="45"/>
      <c r="C13" s="47"/>
      <c r="D13" s="46"/>
      <c r="E13" s="46"/>
      <c r="F13" s="46"/>
      <c r="G13" s="46"/>
      <c r="H13" s="46">
        <f>SUM(C13:G13)</f>
        <v>0</v>
      </c>
    </row>
    <row r="14" spans="1:29" hidden="1" outlineLevel="1" x14ac:dyDescent="0.25">
      <c r="A14" s="45" t="s">
        <v>135</v>
      </c>
      <c r="B14" s="45"/>
      <c r="C14" s="46">
        <v>823357.75</v>
      </c>
      <c r="D14" s="46"/>
      <c r="E14" s="46">
        <v>292171.25</v>
      </c>
      <c r="F14" s="46">
        <v>3834</v>
      </c>
      <c r="G14" s="46">
        <v>20171.079999999994</v>
      </c>
      <c r="H14" s="46">
        <f>SUM(C14:G14)</f>
        <v>1139534.08</v>
      </c>
    </row>
    <row r="15" spans="1:29" hidden="1" outlineLevel="1" x14ac:dyDescent="0.25">
      <c r="A15" s="45" t="s">
        <v>136</v>
      </c>
      <c r="B15" s="45"/>
      <c r="C15" s="46">
        <f t="shared" ref="C15:H15" si="0">SUM(C11:C14)</f>
        <v>4137140.8904230767</v>
      </c>
      <c r="D15" s="46">
        <f t="shared" si="0"/>
        <v>0</v>
      </c>
      <c r="E15" s="46">
        <f t="shared" si="0"/>
        <v>292171.25</v>
      </c>
      <c r="F15" s="46">
        <f t="shared" si="0"/>
        <v>209271</v>
      </c>
      <c r="G15" s="46">
        <f t="shared" si="0"/>
        <v>186753.35230769232</v>
      </c>
      <c r="H15" s="46">
        <f t="shared" si="0"/>
        <v>4825336.4927307693</v>
      </c>
    </row>
    <row r="16" spans="1:29" hidden="1" outlineLevel="1" x14ac:dyDescent="0.25">
      <c r="A16" s="45"/>
      <c r="B16" s="45"/>
      <c r="C16" s="46"/>
      <c r="D16" s="46"/>
      <c r="E16" s="46"/>
      <c r="F16" s="46"/>
      <c r="G16" s="46"/>
      <c r="H16" s="46"/>
    </row>
    <row r="17" spans="1:29" hidden="1" outlineLevel="1" x14ac:dyDescent="0.25">
      <c r="A17" s="45" t="s">
        <v>137</v>
      </c>
      <c r="B17" s="45"/>
      <c r="C17" s="46">
        <f t="shared" ref="C17:H17" si="1">C9-C15</f>
        <v>-0.14042307622730732</v>
      </c>
      <c r="D17" s="46">
        <f t="shared" si="1"/>
        <v>0</v>
      </c>
      <c r="E17" s="46">
        <f t="shared" si="1"/>
        <v>-0.25</v>
      </c>
      <c r="F17" s="46">
        <f t="shared" si="1"/>
        <v>0</v>
      </c>
      <c r="G17" s="46">
        <f t="shared" si="1"/>
        <v>37043.587692307658</v>
      </c>
      <c r="H17" s="46">
        <f t="shared" si="1"/>
        <v>37043.197269231081</v>
      </c>
    </row>
    <row r="18" spans="1:29" hidden="1" outlineLevel="1" collapsed="1" x14ac:dyDescent="0.25"/>
    <row r="19" spans="1:29" collapsed="1" x14ac:dyDescent="0.25"/>
    <row r="20" spans="1:29" x14ac:dyDescent="0.25">
      <c r="A20" s="48" t="s">
        <v>16</v>
      </c>
      <c r="B20" s="49">
        <v>3970443</v>
      </c>
      <c r="I20" s="49">
        <f>I103</f>
        <v>4564543.1100000003</v>
      </c>
      <c r="J20" s="50">
        <v>1</v>
      </c>
      <c r="K20" s="51"/>
      <c r="L20" s="51"/>
      <c r="M20" s="52">
        <f>I20*J20+K20</f>
        <v>4564543.1100000003</v>
      </c>
      <c r="N20" s="50">
        <v>1</v>
      </c>
      <c r="O20" s="51"/>
      <c r="P20" s="51"/>
      <c r="Q20" s="52">
        <f>M20*N20+O20</f>
        <v>4564543.1100000003</v>
      </c>
      <c r="R20" s="50">
        <v>1</v>
      </c>
      <c r="S20" s="51"/>
      <c r="T20" s="51"/>
      <c r="U20" s="52">
        <f>Q20*R20+S20</f>
        <v>4564543.1100000003</v>
      </c>
      <c r="V20" s="50">
        <v>1.01</v>
      </c>
      <c r="W20" s="51"/>
      <c r="X20" s="51"/>
      <c r="Y20" s="52">
        <f>U20*V20+W20</f>
        <v>4610188.5411</v>
      </c>
      <c r="Z20" s="50">
        <v>1.01</v>
      </c>
      <c r="AA20" s="51"/>
      <c r="AB20" s="51"/>
      <c r="AC20" s="52">
        <f>Y20*Z20+AA20</f>
        <v>4656290.4265109999</v>
      </c>
    </row>
    <row r="21" spans="1:29" x14ac:dyDescent="0.25">
      <c r="A21" s="12" t="s">
        <v>17</v>
      </c>
      <c r="B21" s="53"/>
      <c r="I21" s="53"/>
      <c r="J21" s="50"/>
      <c r="N21" s="50"/>
      <c r="R21" s="50"/>
      <c r="V21" s="50"/>
      <c r="Z21" s="50"/>
    </row>
    <row r="22" spans="1:29" x14ac:dyDescent="0.25">
      <c r="A22" s="12" t="s">
        <v>18</v>
      </c>
      <c r="B22" s="53"/>
      <c r="I22" s="53"/>
      <c r="J22" s="50"/>
      <c r="N22" s="50"/>
      <c r="R22" s="50"/>
      <c r="V22" s="50"/>
      <c r="Z22" s="50"/>
    </row>
    <row r="23" spans="1:29" x14ac:dyDescent="0.25">
      <c r="A23" s="12" t="s">
        <v>19</v>
      </c>
      <c r="B23" s="53"/>
      <c r="I23" s="53"/>
      <c r="J23" s="50"/>
      <c r="N23" s="50"/>
      <c r="R23" s="50"/>
      <c r="V23" s="50"/>
      <c r="Z23" s="50"/>
    </row>
    <row r="24" spans="1:29" x14ac:dyDescent="0.25">
      <c r="A24" s="8" t="s">
        <v>20</v>
      </c>
      <c r="B24" s="11">
        <v>15643</v>
      </c>
      <c r="I24" s="11"/>
      <c r="J24" s="50"/>
      <c r="N24" s="50"/>
      <c r="R24" s="50"/>
      <c r="V24" s="50"/>
      <c r="Z24" s="50"/>
    </row>
    <row r="25" spans="1:29" x14ac:dyDescent="0.25">
      <c r="A25" s="8" t="s">
        <v>21</v>
      </c>
      <c r="B25" s="11">
        <v>0</v>
      </c>
      <c r="I25" s="11">
        <f>I106</f>
        <v>0</v>
      </c>
      <c r="J25" s="50">
        <v>1</v>
      </c>
      <c r="K25" s="51"/>
      <c r="L25" s="51"/>
      <c r="M25" s="52">
        <f>I25*J25+K25</f>
        <v>0</v>
      </c>
      <c r="N25" s="50">
        <v>1</v>
      </c>
      <c r="O25" s="51"/>
      <c r="P25" s="51"/>
      <c r="Q25" s="52">
        <f>M25*N25+O25</f>
        <v>0</v>
      </c>
      <c r="R25" s="50">
        <v>1</v>
      </c>
      <c r="S25" s="51"/>
      <c r="T25" s="51"/>
      <c r="U25" s="52">
        <f>Q25*R25+S25</f>
        <v>0</v>
      </c>
      <c r="V25" s="50">
        <v>1</v>
      </c>
      <c r="W25" s="51"/>
      <c r="X25" s="51"/>
      <c r="Y25" s="52">
        <f>U25*V25+W25</f>
        <v>0</v>
      </c>
      <c r="Z25" s="50">
        <v>1</v>
      </c>
      <c r="AA25" s="51"/>
      <c r="AB25" s="51"/>
      <c r="AC25" s="52">
        <f>Y25*Z25+AA25</f>
        <v>0</v>
      </c>
    </row>
    <row r="26" spans="1:29" x14ac:dyDescent="0.25">
      <c r="A26" s="8" t="s">
        <v>22</v>
      </c>
      <c r="B26" s="11">
        <v>83498</v>
      </c>
      <c r="I26" s="11"/>
      <c r="J26" s="50"/>
      <c r="N26" s="50"/>
      <c r="R26" s="50"/>
      <c r="V26" s="50"/>
      <c r="Z26" s="50"/>
    </row>
    <row r="27" spans="1:29" x14ac:dyDescent="0.25">
      <c r="A27" s="48" t="s">
        <v>23</v>
      </c>
      <c r="B27" s="49">
        <v>158963</v>
      </c>
      <c r="I27" s="49"/>
      <c r="J27" s="50"/>
      <c r="N27" s="50"/>
      <c r="R27" s="50"/>
      <c r="V27" s="50"/>
      <c r="Z27" s="50"/>
    </row>
    <row r="28" spans="1:29" x14ac:dyDescent="0.25">
      <c r="A28" s="21" t="s">
        <v>24</v>
      </c>
      <c r="B28" s="54">
        <f>SUM(B20:B27)</f>
        <v>4228547</v>
      </c>
      <c r="I28" s="54">
        <f>SUM(I20:I27)</f>
        <v>4564543.1100000003</v>
      </c>
      <c r="J28" s="50">
        <f>M28/I28</f>
        <v>1</v>
      </c>
      <c r="K28" s="51"/>
      <c r="L28" s="51"/>
      <c r="M28" s="55">
        <f>SUM(M20:M27)</f>
        <v>4564543.1100000003</v>
      </c>
      <c r="N28" s="50">
        <f>Q28/M28</f>
        <v>1</v>
      </c>
      <c r="O28" s="51"/>
      <c r="P28" s="51"/>
      <c r="Q28" s="55">
        <f>SUM(Q20:Q27)</f>
        <v>4564543.1100000003</v>
      </c>
      <c r="R28" s="50">
        <f>U28/Q28</f>
        <v>1</v>
      </c>
      <c r="S28" s="51"/>
      <c r="T28" s="51"/>
      <c r="U28" s="55">
        <f>SUM(U20:U27)</f>
        <v>4564543.1100000003</v>
      </c>
      <c r="V28" s="50">
        <f>Y28/U28</f>
        <v>1.01</v>
      </c>
      <c r="W28" s="51"/>
      <c r="X28" s="51"/>
      <c r="Y28" s="55">
        <f>SUM(Y20:Y27)</f>
        <v>4610188.5411</v>
      </c>
      <c r="Z28" s="50">
        <f>AC28/Y28</f>
        <v>1.01</v>
      </c>
      <c r="AA28" s="51"/>
      <c r="AB28" s="51"/>
      <c r="AC28" s="55">
        <f>SUM(AC20:AC27)</f>
        <v>4656290.4265109999</v>
      </c>
    </row>
    <row r="29" spans="1:29" x14ac:dyDescent="0.25">
      <c r="A29" s="48"/>
      <c r="B29" s="55"/>
      <c r="I29" s="55"/>
      <c r="J29" s="50"/>
      <c r="N29" s="50"/>
      <c r="R29" s="50"/>
      <c r="V29" s="50"/>
      <c r="Z29" s="50"/>
    </row>
    <row r="30" spans="1:29" x14ac:dyDescent="0.25">
      <c r="A30" s="48" t="s">
        <v>25</v>
      </c>
      <c r="B30" s="55"/>
      <c r="I30" s="49">
        <f>I105+I109</f>
        <v>0</v>
      </c>
      <c r="J30" s="50">
        <v>1</v>
      </c>
      <c r="K30" s="51"/>
      <c r="L30" s="51"/>
      <c r="M30" s="52">
        <f>I30*J30+K30</f>
        <v>0</v>
      </c>
      <c r="N30" s="50">
        <v>1</v>
      </c>
      <c r="O30" s="51"/>
      <c r="P30" s="51"/>
      <c r="Q30" s="52">
        <f>M30*N30+O30</f>
        <v>0</v>
      </c>
      <c r="R30" s="50">
        <v>1</v>
      </c>
      <c r="S30" s="51"/>
      <c r="T30" s="51"/>
      <c r="U30" s="52">
        <f>Q30*R30+S30</f>
        <v>0</v>
      </c>
      <c r="V30" s="50">
        <v>1</v>
      </c>
      <c r="W30" s="51"/>
      <c r="X30" s="51"/>
      <c r="Y30" s="52">
        <f>U30*V30+W30</f>
        <v>0</v>
      </c>
      <c r="Z30" s="50">
        <v>1</v>
      </c>
      <c r="AA30" s="51"/>
      <c r="AB30" s="51"/>
      <c r="AC30" s="52">
        <f>Y30*Z30+AA30</f>
        <v>0</v>
      </c>
    </row>
    <row r="31" spans="1:29" x14ac:dyDescent="0.25">
      <c r="A31" s="48" t="s">
        <v>26</v>
      </c>
      <c r="B31" s="49">
        <v>151845</v>
      </c>
      <c r="I31" s="49">
        <f>I107</f>
        <v>115401</v>
      </c>
      <c r="J31" s="50">
        <v>1</v>
      </c>
      <c r="K31" s="51"/>
      <c r="L31" s="51"/>
      <c r="M31" s="52">
        <f>I31*J31+K31</f>
        <v>115401</v>
      </c>
      <c r="N31" s="50">
        <v>1</v>
      </c>
      <c r="O31" s="51"/>
      <c r="P31" s="51"/>
      <c r="Q31" s="52">
        <f>M31*N31+O31</f>
        <v>115401</v>
      </c>
      <c r="R31" s="50">
        <v>1</v>
      </c>
      <c r="S31" s="51"/>
      <c r="T31" s="51"/>
      <c r="U31" s="52">
        <f>Q31*R31+S31</f>
        <v>115401</v>
      </c>
      <c r="V31" s="50">
        <v>1</v>
      </c>
      <c r="W31" s="51"/>
      <c r="X31" s="51"/>
      <c r="Y31" s="52">
        <f>U31*V31+W31</f>
        <v>115401</v>
      </c>
      <c r="Z31" s="50">
        <v>1</v>
      </c>
      <c r="AA31" s="51"/>
      <c r="AB31" s="51"/>
      <c r="AC31" s="52">
        <f>Y31*Z31+AA31</f>
        <v>115401</v>
      </c>
    </row>
    <row r="32" spans="1:29" x14ac:dyDescent="0.25">
      <c r="A32" s="48" t="s">
        <v>27</v>
      </c>
      <c r="B32" s="49">
        <f>B114</f>
        <v>561527</v>
      </c>
      <c r="I32" s="49">
        <f>I108</f>
        <v>88499.83</v>
      </c>
      <c r="J32" s="50">
        <v>1</v>
      </c>
      <c r="K32" s="51"/>
      <c r="L32" s="51"/>
      <c r="M32" s="52">
        <f>I32*J32+K32</f>
        <v>88499.83</v>
      </c>
      <c r="N32" s="50">
        <v>1</v>
      </c>
      <c r="O32" s="51"/>
      <c r="P32" s="51"/>
      <c r="Q32" s="52">
        <f>M32*N32+O32</f>
        <v>88499.83</v>
      </c>
      <c r="R32" s="50">
        <v>1</v>
      </c>
      <c r="S32" s="51"/>
      <c r="T32" s="51"/>
      <c r="U32" s="52">
        <f>Q32*R32+S32</f>
        <v>88499.83</v>
      </c>
      <c r="V32" s="50">
        <v>1</v>
      </c>
      <c r="W32" s="51"/>
      <c r="X32" s="51"/>
      <c r="Y32" s="52">
        <f>U32*V32+W32</f>
        <v>88499.83</v>
      </c>
      <c r="Z32" s="50">
        <v>1</v>
      </c>
      <c r="AA32" s="51"/>
      <c r="AB32" s="51"/>
      <c r="AC32" s="52">
        <f>Y32*Z32+AA32</f>
        <v>88499.83</v>
      </c>
    </row>
    <row r="33" spans="1:29" x14ac:dyDescent="0.25">
      <c r="A33" s="48" t="s">
        <v>28</v>
      </c>
      <c r="B33" s="49"/>
      <c r="I33" s="49"/>
      <c r="J33" s="50"/>
      <c r="N33" s="50"/>
      <c r="R33" s="50"/>
      <c r="V33" s="50"/>
      <c r="Z33" s="50"/>
    </row>
    <row r="34" spans="1:29" x14ac:dyDescent="0.25">
      <c r="A34" s="48" t="s">
        <v>29</v>
      </c>
      <c r="B34" s="49"/>
      <c r="I34" s="49"/>
      <c r="J34" s="50"/>
      <c r="N34" s="50"/>
      <c r="R34" s="50"/>
      <c r="V34" s="50"/>
      <c r="Z34" s="50"/>
    </row>
    <row r="35" spans="1:29" x14ac:dyDescent="0.25">
      <c r="A35" s="48" t="s">
        <v>30</v>
      </c>
      <c r="B35" s="49"/>
      <c r="I35" s="49"/>
      <c r="J35" s="50"/>
      <c r="N35" s="50"/>
      <c r="R35" s="50"/>
      <c r="V35" s="50"/>
      <c r="Z35" s="50"/>
    </row>
    <row r="36" spans="1:29" x14ac:dyDescent="0.25">
      <c r="A36" s="21" t="s">
        <v>31</v>
      </c>
      <c r="B36" s="54">
        <f>SUM(B30:B35)</f>
        <v>713372</v>
      </c>
      <c r="I36" s="54">
        <f>SUM(I30:I35)</f>
        <v>203900.83000000002</v>
      </c>
      <c r="J36" s="50">
        <f>M36/I36</f>
        <v>1</v>
      </c>
      <c r="K36" s="51"/>
      <c r="L36" s="51"/>
      <c r="M36" s="55">
        <f>SUM(M30:M35)</f>
        <v>203900.83000000002</v>
      </c>
      <c r="N36" s="50">
        <f>Q36/M36</f>
        <v>1</v>
      </c>
      <c r="O36" s="51"/>
      <c r="P36" s="51"/>
      <c r="Q36" s="55">
        <f>SUM(Q30:Q35)</f>
        <v>203900.83000000002</v>
      </c>
      <c r="R36" s="50">
        <f>U36/Q36</f>
        <v>1</v>
      </c>
      <c r="S36" s="51"/>
      <c r="T36" s="51"/>
      <c r="U36" s="55">
        <f>SUM(U30:U35)</f>
        <v>203900.83000000002</v>
      </c>
      <c r="V36" s="50">
        <f>Y36/U36</f>
        <v>1</v>
      </c>
      <c r="W36" s="51"/>
      <c r="X36" s="51"/>
      <c r="Y36" s="55">
        <f>SUM(Y30:Y35)</f>
        <v>203900.83000000002</v>
      </c>
      <c r="Z36" s="50">
        <f>AC36/Y36</f>
        <v>1</v>
      </c>
      <c r="AA36" s="51"/>
      <c r="AB36" s="51"/>
      <c r="AC36" s="55">
        <f>SUM(AC30:AC35)</f>
        <v>203900.83000000002</v>
      </c>
    </row>
    <row r="37" spans="1:29" x14ac:dyDescent="0.25">
      <c r="A37" s="48"/>
      <c r="B37" s="55"/>
      <c r="I37" s="55"/>
      <c r="J37" s="50"/>
      <c r="N37" s="50"/>
      <c r="R37" s="50"/>
      <c r="V37" s="50"/>
      <c r="Z37" s="50"/>
    </row>
    <row r="38" spans="1:29" x14ac:dyDescent="0.25">
      <c r="A38" s="48" t="s">
        <v>32</v>
      </c>
      <c r="B38" s="55">
        <v>105862</v>
      </c>
      <c r="C38" s="49">
        <v>93936</v>
      </c>
      <c r="I38" s="55">
        <f>SUM(C38:H38)</f>
        <v>93936</v>
      </c>
      <c r="J38" s="50"/>
      <c r="N38" s="50"/>
      <c r="R38" s="50"/>
      <c r="V38" s="50"/>
      <c r="Z38" s="50"/>
    </row>
    <row r="39" spans="1:29" ht="14.4" thickBot="1" x14ac:dyDescent="0.3">
      <c r="A39" s="14" t="s">
        <v>33</v>
      </c>
      <c r="B39" s="56">
        <f>B38+B36+B28</f>
        <v>5047781</v>
      </c>
      <c r="I39" s="56">
        <f>I38+I36+I28</f>
        <v>4862379.9400000004</v>
      </c>
      <c r="J39" s="50">
        <f>M39/I39</f>
        <v>0.98068106541258893</v>
      </c>
      <c r="K39" s="51"/>
      <c r="L39" s="51"/>
      <c r="M39" s="56">
        <f>M38+M36+M28</f>
        <v>4768443.9400000004</v>
      </c>
      <c r="N39" s="50">
        <f>Q39/M39</f>
        <v>1</v>
      </c>
      <c r="O39" s="51"/>
      <c r="P39" s="51"/>
      <c r="Q39" s="56">
        <f>Q38+Q36+Q28</f>
        <v>4768443.9400000004</v>
      </c>
      <c r="R39" s="50">
        <f>U39/Q39</f>
        <v>1</v>
      </c>
      <c r="S39" s="51"/>
      <c r="T39" s="51"/>
      <c r="U39" s="56">
        <f>U38+U36+U28</f>
        <v>4768443.9400000004</v>
      </c>
      <c r="V39" s="50">
        <f>Y39/U39</f>
        <v>1.0095723954552771</v>
      </c>
      <c r="W39" s="51"/>
      <c r="X39" s="51"/>
      <c r="Y39" s="56">
        <f>Y38+Y36+Y28</f>
        <v>4814089.3711000001</v>
      </c>
      <c r="Z39" s="50">
        <f>AC39/Y39</f>
        <v>1.0095764498448574</v>
      </c>
      <c r="AA39" s="51"/>
      <c r="AB39" s="51"/>
      <c r="AC39" s="56">
        <f>AC38+AC36+AC28</f>
        <v>4860191.256511</v>
      </c>
    </row>
    <row r="40" spans="1:29" ht="14.4" thickTop="1" x14ac:dyDescent="0.25">
      <c r="A40" s="48"/>
      <c r="B40" s="55"/>
      <c r="I40" s="55"/>
      <c r="J40" s="50"/>
      <c r="N40" s="50"/>
      <c r="R40" s="50"/>
      <c r="V40" s="50"/>
      <c r="Z40" s="50"/>
    </row>
    <row r="41" spans="1:29" x14ac:dyDescent="0.25">
      <c r="A41" s="48"/>
      <c r="B41" s="55"/>
      <c r="I41" s="55"/>
      <c r="J41" s="50"/>
      <c r="N41" s="50"/>
      <c r="R41" s="50"/>
      <c r="V41" s="50"/>
      <c r="Z41" s="50"/>
    </row>
    <row r="42" spans="1:29" x14ac:dyDescent="0.25">
      <c r="A42" s="6" t="s">
        <v>34</v>
      </c>
      <c r="B42" s="57"/>
      <c r="I42" s="57"/>
      <c r="J42" s="50"/>
      <c r="N42" s="50"/>
      <c r="R42" s="50"/>
      <c r="V42" s="50"/>
      <c r="Z42" s="50"/>
    </row>
    <row r="43" spans="1:29" x14ac:dyDescent="0.25">
      <c r="A43" s="48" t="s">
        <v>35</v>
      </c>
      <c r="B43" s="55"/>
      <c r="I43" s="55"/>
      <c r="J43" s="50"/>
      <c r="N43" s="50"/>
      <c r="R43" s="50"/>
      <c r="V43" s="50"/>
      <c r="Z43" s="50"/>
    </row>
    <row r="44" spans="1:29" x14ac:dyDescent="0.25">
      <c r="A44" s="48" t="s">
        <v>36</v>
      </c>
      <c r="B44" s="49">
        <v>196138.2</v>
      </c>
      <c r="I44" s="49">
        <f>I121</f>
        <v>188563.02907548656</v>
      </c>
      <c r="J44" s="50">
        <v>1.01</v>
      </c>
      <c r="M44" s="52">
        <f>I44*J44+K44</f>
        <v>190448.65936624142</v>
      </c>
      <c r="N44" s="50">
        <v>1.01</v>
      </c>
      <c r="Q44" s="52">
        <f>M44*N44+O44</f>
        <v>192353.14595990384</v>
      </c>
      <c r="R44" s="50">
        <v>1.01</v>
      </c>
      <c r="U44" s="52">
        <f>Q44*R44+S44</f>
        <v>194276.67741950287</v>
      </c>
      <c r="V44" s="50">
        <v>1.01</v>
      </c>
      <c r="Y44" s="52">
        <f>U44*V44+W44</f>
        <v>196219.44419369791</v>
      </c>
      <c r="Z44" s="50">
        <v>1.01</v>
      </c>
      <c r="AC44" s="52">
        <f>Y44*Z44+AA44</f>
        <v>198181.63863563488</v>
      </c>
    </row>
    <row r="45" spans="1:29" x14ac:dyDescent="0.25">
      <c r="A45" s="48" t="s">
        <v>37</v>
      </c>
      <c r="B45" s="49">
        <v>2635641.5299999998</v>
      </c>
      <c r="I45" s="49">
        <f>I122</f>
        <v>2672847.3832322056</v>
      </c>
      <c r="J45" s="50">
        <v>1.01</v>
      </c>
      <c r="M45" s="52">
        <f>I45*J45+K45</f>
        <v>2699575.8570645279</v>
      </c>
      <c r="N45" s="50">
        <v>1.01</v>
      </c>
      <c r="Q45" s="52">
        <f>M45*N45+O45</f>
        <v>2726571.6156351734</v>
      </c>
      <c r="R45" s="50">
        <v>1.01</v>
      </c>
      <c r="U45" s="52">
        <f>Q45*R45+S45</f>
        <v>2753837.3317915252</v>
      </c>
      <c r="V45" s="50">
        <v>1.01</v>
      </c>
      <c r="Y45" s="52">
        <f>U45*V45+W45</f>
        <v>2781375.7051094407</v>
      </c>
      <c r="Z45" s="50">
        <v>1.01</v>
      </c>
      <c r="AC45" s="52">
        <f>Y45*Z45+AA45</f>
        <v>2809189.4621605352</v>
      </c>
    </row>
    <row r="46" spans="1:29" x14ac:dyDescent="0.25">
      <c r="A46" s="48" t="s">
        <v>38</v>
      </c>
      <c r="B46" s="49">
        <v>-17009.97</v>
      </c>
      <c r="I46" s="49"/>
      <c r="J46" s="50"/>
      <c r="N46" s="50"/>
      <c r="R46" s="50"/>
      <c r="V46" s="50"/>
      <c r="Z46" s="50"/>
    </row>
    <row r="47" spans="1:29" x14ac:dyDescent="0.25">
      <c r="A47" s="21" t="s">
        <v>39</v>
      </c>
      <c r="B47" s="54">
        <f>SUM(B44:B46)</f>
        <v>2814769.76</v>
      </c>
      <c r="I47" s="54">
        <f>SUM(I44:I46)</f>
        <v>2861410.4123076922</v>
      </c>
      <c r="J47" s="50">
        <f>M47/I47</f>
        <v>1.01</v>
      </c>
      <c r="K47" s="55">
        <f>SUM(K44:K46)</f>
        <v>0</v>
      </c>
      <c r="L47" s="55"/>
      <c r="M47" s="55">
        <f>SUM(M44:M46)</f>
        <v>2890024.5164307691</v>
      </c>
      <c r="N47" s="50">
        <f>Q47/M47</f>
        <v>1.0100000000000002</v>
      </c>
      <c r="O47" s="55">
        <f>SUM(O44:O46)</f>
        <v>0</v>
      </c>
      <c r="P47" s="55"/>
      <c r="Q47" s="55">
        <f>SUM(Q44:Q46)</f>
        <v>2918924.7615950773</v>
      </c>
      <c r="R47" s="50">
        <f>U47/Q47</f>
        <v>1.01</v>
      </c>
      <c r="S47" s="55">
        <f>SUM(S44:S46)</f>
        <v>0</v>
      </c>
      <c r="T47" s="55"/>
      <c r="U47" s="55">
        <f>SUM(U44:U46)</f>
        <v>2948114.009211028</v>
      </c>
      <c r="V47" s="50">
        <f>Y47/U47</f>
        <v>1.0100000000000002</v>
      </c>
      <c r="W47" s="55">
        <f>SUM(W44:W46)</f>
        <v>0</v>
      </c>
      <c r="X47" s="55"/>
      <c r="Y47" s="55">
        <f>SUM(Y44:Y46)</f>
        <v>2977595.1493031387</v>
      </c>
      <c r="Z47" s="50">
        <f>AC47/Y47</f>
        <v>1.01</v>
      </c>
      <c r="AA47" s="55">
        <f>SUM(AA44:AA46)</f>
        <v>0</v>
      </c>
      <c r="AB47" s="55"/>
      <c r="AC47" s="55">
        <f>SUM(AC44:AC46)</f>
        <v>3007371.1007961701</v>
      </c>
    </row>
    <row r="48" spans="1:29" x14ac:dyDescent="0.25">
      <c r="A48" s="9"/>
      <c r="B48" s="55"/>
      <c r="I48" s="55"/>
      <c r="J48" s="50"/>
      <c r="K48" s="55"/>
      <c r="L48" s="55"/>
      <c r="M48" s="55"/>
      <c r="N48" s="50"/>
      <c r="O48" s="55"/>
      <c r="P48" s="55"/>
      <c r="Q48" s="55"/>
      <c r="R48" s="50"/>
      <c r="S48" s="55"/>
      <c r="T48" s="55"/>
      <c r="U48" s="55"/>
      <c r="V48" s="50"/>
      <c r="W48" s="55"/>
      <c r="X48" s="55"/>
      <c r="Y48" s="55"/>
      <c r="Z48" s="50"/>
      <c r="AA48" s="55"/>
      <c r="AB48" s="55"/>
      <c r="AC48" s="55"/>
    </row>
    <row r="49" spans="1:29" x14ac:dyDescent="0.25">
      <c r="A49" s="48" t="s">
        <v>40</v>
      </c>
      <c r="B49" s="49">
        <v>810955</v>
      </c>
      <c r="C49" s="58">
        <f>B49/B50</f>
        <v>0.22366700554512031</v>
      </c>
      <c r="D49" s="8" t="s">
        <v>159</v>
      </c>
      <c r="I49" s="49">
        <f>I126</f>
        <v>824392.38859184249</v>
      </c>
      <c r="J49" s="50">
        <v>1.02</v>
      </c>
      <c r="M49" s="52">
        <f>I49*J49+K49</f>
        <v>840880.2363636794</v>
      </c>
      <c r="N49" s="50">
        <v>1.02</v>
      </c>
      <c r="Q49" s="52">
        <f>M49*N49+O49</f>
        <v>857697.84109095298</v>
      </c>
      <c r="R49" s="50">
        <v>1.02</v>
      </c>
      <c r="U49" s="52">
        <f>Q49*R49+S49</f>
        <v>874851.79791277205</v>
      </c>
      <c r="V49" s="50">
        <v>1.02</v>
      </c>
      <c r="Y49" s="52">
        <f>U49*V49+W49</f>
        <v>892348.83387102745</v>
      </c>
      <c r="Z49" s="50">
        <v>1.02</v>
      </c>
      <c r="AC49" s="52">
        <f>Y49*Z49+AA49</f>
        <v>910195.810548448</v>
      </c>
    </row>
    <row r="50" spans="1:29" x14ac:dyDescent="0.25">
      <c r="A50" s="21" t="s">
        <v>41</v>
      </c>
      <c r="B50" s="54">
        <f>SUM(B47:B49)</f>
        <v>3625724.76</v>
      </c>
      <c r="I50" s="54">
        <f>SUM(I47:I49)</f>
        <v>3685802.8008995345</v>
      </c>
      <c r="J50" s="50">
        <f>M50/I50</f>
        <v>1.0122366698196406</v>
      </c>
      <c r="K50" s="54">
        <f>SUM(K47:K49)</f>
        <v>0</v>
      </c>
      <c r="L50" s="54"/>
      <c r="M50" s="54">
        <f>SUM(M47:M49)</f>
        <v>3730904.7527944483</v>
      </c>
      <c r="N50" s="50">
        <f>Q50/M50</f>
        <v>1.0122538239169305</v>
      </c>
      <c r="O50" s="54">
        <f>SUM(O47:O49)</f>
        <v>0</v>
      </c>
      <c r="P50" s="54"/>
      <c r="Q50" s="54">
        <f>SUM(Q47:Q49)</f>
        <v>3776622.6026860303</v>
      </c>
      <c r="R50" s="50">
        <f>U50/Q50</f>
        <v>1.0122710710900287</v>
      </c>
      <c r="S50" s="54">
        <f>SUM(S47:S49)</f>
        <v>0</v>
      </c>
      <c r="T50" s="54"/>
      <c r="U50" s="54">
        <f>SUM(U47:U49)</f>
        <v>3822965.8071237998</v>
      </c>
      <c r="V50" s="50">
        <f>Y50/U50</f>
        <v>1.0122884112546406</v>
      </c>
      <c r="W50" s="54">
        <f>SUM(W47:W49)</f>
        <v>0</v>
      </c>
      <c r="X50" s="54"/>
      <c r="Y50" s="54">
        <f>SUM(Y47:Y49)</f>
        <v>3869943.9831741662</v>
      </c>
      <c r="Z50" s="50">
        <f>AC50/Y50</f>
        <v>1.0123058443164832</v>
      </c>
      <c r="AA50" s="54">
        <f>SUM(AA47:AA49)</f>
        <v>0</v>
      </c>
      <c r="AB50" s="54"/>
      <c r="AC50" s="54">
        <f>SUM(AC47:AC49)</f>
        <v>3917566.9113446181</v>
      </c>
    </row>
    <row r="51" spans="1:29" x14ac:dyDescent="0.25">
      <c r="A51" s="48"/>
      <c r="B51" s="55"/>
      <c r="I51" s="55"/>
    </row>
    <row r="52" spans="1:29" x14ac:dyDescent="0.25">
      <c r="A52" s="48" t="s">
        <v>42</v>
      </c>
      <c r="B52" s="55"/>
      <c r="I52" s="55"/>
    </row>
    <row r="53" spans="1:29" x14ac:dyDescent="0.25">
      <c r="A53" s="48" t="s">
        <v>43</v>
      </c>
      <c r="B53" s="49">
        <v>74378</v>
      </c>
      <c r="I53" s="49">
        <f>I131</f>
        <v>110761</v>
      </c>
      <c r="J53" s="50">
        <v>1.02</v>
      </c>
      <c r="M53" s="52">
        <f>I53*J53+K53</f>
        <v>112976.22</v>
      </c>
      <c r="N53" s="50">
        <v>1.02</v>
      </c>
      <c r="Q53" s="52">
        <f>M53*N53+O53</f>
        <v>115235.7444</v>
      </c>
      <c r="R53" s="50">
        <v>1.02</v>
      </c>
      <c r="U53" s="52">
        <f>Q53*R53+S53</f>
        <v>117540.459288</v>
      </c>
      <c r="V53" s="50">
        <v>1.02</v>
      </c>
      <c r="Y53" s="52">
        <f>U53*V53+W53</f>
        <v>119891.26847376001</v>
      </c>
      <c r="Z53" s="50">
        <v>1.02</v>
      </c>
      <c r="AC53" s="52">
        <f>Y53*Z53+AA53</f>
        <v>122289.09384323521</v>
      </c>
    </row>
    <row r="54" spans="1:29" x14ac:dyDescent="0.25">
      <c r="A54" s="48" t="s">
        <v>44</v>
      </c>
      <c r="B54" s="49">
        <v>68514</v>
      </c>
      <c r="H54" s="8">
        <v>15</v>
      </c>
      <c r="I54" s="49">
        <f>16184+46549</f>
        <v>62733</v>
      </c>
      <c r="J54" s="50">
        <v>1.02</v>
      </c>
      <c r="M54" s="52">
        <f>I54*J54+K54</f>
        <v>63987.66</v>
      </c>
      <c r="N54" s="50">
        <v>1.02</v>
      </c>
      <c r="Q54" s="52">
        <f>M54*N54+O54</f>
        <v>65267.413200000003</v>
      </c>
      <c r="R54" s="50">
        <v>1.02</v>
      </c>
      <c r="U54" s="52">
        <f>Q54*R54+S54</f>
        <v>66572.76146400001</v>
      </c>
      <c r="V54" s="50">
        <v>1.02</v>
      </c>
      <c r="Y54" s="52">
        <f>U54*V54+W54</f>
        <v>67904.216693280017</v>
      </c>
      <c r="Z54" s="50">
        <v>1.02</v>
      </c>
      <c r="AC54" s="52">
        <f>Y54*Z54+AA54</f>
        <v>69262.301027145615</v>
      </c>
    </row>
    <row r="55" spans="1:29" x14ac:dyDescent="0.25">
      <c r="A55" s="21" t="s">
        <v>45</v>
      </c>
      <c r="B55" s="54">
        <f>SUM(B53:B54)</f>
        <v>142892</v>
      </c>
      <c r="I55" s="54">
        <f>SUM(I53:I54)</f>
        <v>173494</v>
      </c>
      <c r="J55" s="50">
        <f>M55/I55</f>
        <v>1.02</v>
      </c>
      <c r="K55" s="54">
        <f>SUM(K53:K54)</f>
        <v>0</v>
      </c>
      <c r="L55" s="54"/>
      <c r="M55" s="54">
        <f>SUM(M53:M54)</f>
        <v>176963.88</v>
      </c>
      <c r="N55" s="50">
        <f>Q55/M55</f>
        <v>1.02</v>
      </c>
      <c r="O55" s="54">
        <f>SUM(O53:O54)</f>
        <v>0</v>
      </c>
      <c r="P55" s="54"/>
      <c r="Q55" s="54">
        <f>SUM(Q53:Q54)</f>
        <v>180503.15760000001</v>
      </c>
      <c r="R55" s="50">
        <f>U55/Q55</f>
        <v>1.02</v>
      </c>
      <c r="S55" s="54">
        <f>SUM(S53:S54)</f>
        <v>0</v>
      </c>
      <c r="T55" s="54"/>
      <c r="U55" s="54">
        <f>SUM(U53:U54)</f>
        <v>184113.22075199999</v>
      </c>
      <c r="V55" s="50">
        <f>Y55/U55</f>
        <v>1.0200000000000002</v>
      </c>
      <c r="W55" s="54">
        <f>SUM(W53:W54)</f>
        <v>0</v>
      </c>
      <c r="X55" s="54"/>
      <c r="Y55" s="54">
        <f>SUM(Y53:Y54)</f>
        <v>187795.48516704002</v>
      </c>
      <c r="Z55" s="50">
        <f>AC55/Y55</f>
        <v>1.02</v>
      </c>
      <c r="AA55" s="54">
        <f>SUM(AA53:AA54)</f>
        <v>0</v>
      </c>
      <c r="AB55" s="54"/>
      <c r="AC55" s="54">
        <f>SUM(AC53:AC54)</f>
        <v>191551.39487038081</v>
      </c>
    </row>
    <row r="56" spans="1:29" x14ac:dyDescent="0.25">
      <c r="A56" s="48"/>
      <c r="B56" s="55"/>
      <c r="I56" s="55"/>
    </row>
    <row r="57" spans="1:29" x14ac:dyDescent="0.25">
      <c r="A57" s="9" t="s">
        <v>46</v>
      </c>
      <c r="B57" s="55"/>
      <c r="I57" s="55"/>
    </row>
    <row r="58" spans="1:29" x14ac:dyDescent="0.25">
      <c r="A58" s="48" t="s">
        <v>47</v>
      </c>
      <c r="B58" s="49">
        <f>B135</f>
        <v>311504</v>
      </c>
      <c r="I58" s="49">
        <f>I135</f>
        <v>4544698</v>
      </c>
      <c r="J58" s="50">
        <v>1.02</v>
      </c>
      <c r="M58" s="52">
        <f t="shared" ref="M58:M63" si="2">I58*J58+K58</f>
        <v>4635591.96</v>
      </c>
      <c r="N58" s="50">
        <v>1.02</v>
      </c>
      <c r="Q58" s="52">
        <f t="shared" ref="Q58:Q63" si="3">M58*N58+O58</f>
        <v>4728303.7992000002</v>
      </c>
      <c r="R58" s="50">
        <v>1.02</v>
      </c>
      <c r="U58" s="52">
        <f t="shared" ref="U58:U63" si="4">Q58*R58+S58</f>
        <v>4822869.8751840005</v>
      </c>
      <c r="V58" s="50">
        <v>1.02</v>
      </c>
      <c r="Y58" s="52">
        <f t="shared" ref="Y58:Y63" si="5">U58*V58+W58</f>
        <v>4919327.272687681</v>
      </c>
      <c r="Z58" s="50">
        <v>1.02</v>
      </c>
      <c r="AC58" s="52">
        <f t="shared" ref="AC58:AC63" si="6">Y58*Z58+AA58</f>
        <v>5017713.8181414343</v>
      </c>
    </row>
    <row r="59" spans="1:29" x14ac:dyDescent="0.25">
      <c r="A59" s="48" t="s">
        <v>48</v>
      </c>
      <c r="B59" s="49">
        <v>23323</v>
      </c>
      <c r="H59" s="8">
        <v>10</v>
      </c>
      <c r="I59" s="49">
        <v>72231</v>
      </c>
      <c r="J59" s="50">
        <v>1.02</v>
      </c>
      <c r="M59" s="52">
        <f t="shared" si="2"/>
        <v>73675.62</v>
      </c>
      <c r="N59" s="50">
        <v>1.02</v>
      </c>
      <c r="Q59" s="52">
        <f t="shared" si="3"/>
        <v>75149.132400000002</v>
      </c>
      <c r="R59" s="50">
        <v>1.02</v>
      </c>
      <c r="U59" s="52">
        <f t="shared" si="4"/>
        <v>76652.115048000007</v>
      </c>
      <c r="V59" s="50">
        <v>1.02</v>
      </c>
      <c r="Y59" s="52">
        <f t="shared" si="5"/>
        <v>78185.157348960012</v>
      </c>
      <c r="Z59" s="50">
        <v>1.02</v>
      </c>
      <c r="AC59" s="52">
        <f t="shared" si="6"/>
        <v>79748.860495939211</v>
      </c>
    </row>
    <row r="60" spans="1:29" x14ac:dyDescent="0.25">
      <c r="A60" s="48" t="s">
        <v>49</v>
      </c>
      <c r="B60" s="49">
        <f>B156</f>
        <v>8103</v>
      </c>
      <c r="H60" s="8">
        <v>11</v>
      </c>
      <c r="I60" s="49">
        <f>33312+16184</f>
        <v>49496</v>
      </c>
      <c r="J60" s="50">
        <v>1.02</v>
      </c>
      <c r="M60" s="52">
        <f t="shared" si="2"/>
        <v>50485.919999999998</v>
      </c>
      <c r="N60" s="50">
        <v>1.02</v>
      </c>
      <c r="Q60" s="52">
        <f t="shared" si="3"/>
        <v>51495.638399999996</v>
      </c>
      <c r="R60" s="50">
        <v>1.02</v>
      </c>
      <c r="U60" s="52">
        <f t="shared" si="4"/>
        <v>52525.551167999998</v>
      </c>
      <c r="V60" s="50">
        <v>1.02</v>
      </c>
      <c r="Y60" s="52">
        <f t="shared" si="5"/>
        <v>53576.062191359997</v>
      </c>
      <c r="Z60" s="50">
        <v>1.02</v>
      </c>
      <c r="AC60" s="52">
        <f t="shared" si="6"/>
        <v>54647.583435187196</v>
      </c>
    </row>
    <row r="61" spans="1:29" x14ac:dyDescent="0.25">
      <c r="A61" s="48" t="s">
        <v>50</v>
      </c>
      <c r="B61" s="49">
        <v>8814</v>
      </c>
      <c r="H61" s="8">
        <v>12</v>
      </c>
      <c r="I61" s="49">
        <v>4605</v>
      </c>
      <c r="J61" s="50">
        <v>1.02</v>
      </c>
      <c r="M61" s="52">
        <f t="shared" si="2"/>
        <v>4697.1000000000004</v>
      </c>
      <c r="N61" s="50">
        <v>1.02</v>
      </c>
      <c r="Q61" s="52">
        <f t="shared" si="3"/>
        <v>4791.0420000000004</v>
      </c>
      <c r="R61" s="50">
        <v>1.02</v>
      </c>
      <c r="U61" s="52">
        <f t="shared" si="4"/>
        <v>4886.8628400000007</v>
      </c>
      <c r="V61" s="50">
        <v>1.02</v>
      </c>
      <c r="Y61" s="52">
        <f t="shared" si="5"/>
        <v>4984.6000968000008</v>
      </c>
      <c r="Z61" s="50">
        <v>1.02</v>
      </c>
      <c r="AC61" s="52">
        <f t="shared" si="6"/>
        <v>5084.2920987360012</v>
      </c>
    </row>
    <row r="62" spans="1:29" x14ac:dyDescent="0.25">
      <c r="A62" s="48" t="s">
        <v>51</v>
      </c>
      <c r="B62" s="49"/>
      <c r="H62" s="59" t="s">
        <v>138</v>
      </c>
      <c r="I62" s="49">
        <f>72510+32418+8058+79380</f>
        <v>192366</v>
      </c>
      <c r="J62" s="50">
        <v>1.02</v>
      </c>
      <c r="M62" s="52">
        <f t="shared" si="2"/>
        <v>196213.32</v>
      </c>
      <c r="N62" s="50">
        <v>1.02</v>
      </c>
      <c r="Q62" s="52">
        <f t="shared" si="3"/>
        <v>200137.5864</v>
      </c>
      <c r="R62" s="50">
        <v>1.02</v>
      </c>
      <c r="U62" s="52">
        <f t="shared" si="4"/>
        <v>204140.338128</v>
      </c>
      <c r="V62" s="50">
        <v>1.02</v>
      </c>
      <c r="Y62" s="52">
        <f t="shared" si="5"/>
        <v>208223.14489056001</v>
      </c>
      <c r="Z62" s="50">
        <v>1.02</v>
      </c>
      <c r="AC62" s="52">
        <f t="shared" si="6"/>
        <v>212387.60778837121</v>
      </c>
    </row>
    <row r="63" spans="1:29" x14ac:dyDescent="0.25">
      <c r="A63" s="48" t="s">
        <v>52</v>
      </c>
      <c r="B63" s="49">
        <f>B162</f>
        <v>120065</v>
      </c>
      <c r="I63" s="49">
        <f>I162</f>
        <v>315204</v>
      </c>
      <c r="J63" s="50">
        <v>1.02</v>
      </c>
      <c r="M63" s="52">
        <f t="shared" si="2"/>
        <v>321508.08</v>
      </c>
      <c r="N63" s="50">
        <v>1.02</v>
      </c>
      <c r="Q63" s="52">
        <f t="shared" si="3"/>
        <v>327938.24160000001</v>
      </c>
      <c r="R63" s="50">
        <v>1.02</v>
      </c>
      <c r="U63" s="52">
        <f t="shared" si="4"/>
        <v>334497.00643200002</v>
      </c>
      <c r="V63" s="50">
        <v>1.02</v>
      </c>
      <c r="Y63" s="52">
        <f t="shared" si="5"/>
        <v>341186.94656064</v>
      </c>
      <c r="Z63" s="50">
        <v>1.02</v>
      </c>
      <c r="AC63" s="52">
        <f t="shared" si="6"/>
        <v>348010.68549185281</v>
      </c>
    </row>
    <row r="64" spans="1:29" x14ac:dyDescent="0.25">
      <c r="A64" s="48" t="s">
        <v>53</v>
      </c>
      <c r="B64" s="49"/>
      <c r="I64" s="49"/>
    </row>
    <row r="65" spans="1:29" x14ac:dyDescent="0.25">
      <c r="A65" s="60" t="s">
        <v>54</v>
      </c>
      <c r="B65" s="11"/>
      <c r="I65" s="11"/>
    </row>
    <row r="66" spans="1:29" x14ac:dyDescent="0.25">
      <c r="A66" s="60" t="s">
        <v>55</v>
      </c>
      <c r="B66" s="11">
        <v>17821</v>
      </c>
      <c r="H66" s="8">
        <v>14</v>
      </c>
      <c r="I66" s="11">
        <v>48857</v>
      </c>
      <c r="J66" s="50">
        <v>1.02</v>
      </c>
      <c r="M66" s="52">
        <f>I66*J66+K66</f>
        <v>49834.14</v>
      </c>
      <c r="N66" s="50">
        <v>1.02</v>
      </c>
      <c r="Q66" s="52">
        <f>M66*N66+O66</f>
        <v>50830.822800000002</v>
      </c>
      <c r="R66" s="50">
        <v>1.02</v>
      </c>
      <c r="U66" s="52">
        <f>Q66*R66+S66</f>
        <v>51847.439256000005</v>
      </c>
      <c r="V66" s="50">
        <v>1.02</v>
      </c>
      <c r="Y66" s="52">
        <f>U66*V66+W66</f>
        <v>52884.388041120008</v>
      </c>
      <c r="Z66" s="50">
        <v>1.02</v>
      </c>
      <c r="AC66" s="52">
        <f>Y66*Z66+AA66</f>
        <v>53942.07580194241</v>
      </c>
    </row>
    <row r="67" spans="1:29" x14ac:dyDescent="0.25">
      <c r="A67" s="48" t="s">
        <v>56</v>
      </c>
      <c r="B67" s="49">
        <f>B146</f>
        <v>69124</v>
      </c>
      <c r="I67" s="49">
        <f>I146</f>
        <v>57051</v>
      </c>
      <c r="J67" s="50">
        <v>1.02</v>
      </c>
      <c r="M67" s="52">
        <f>I67*J67+K67</f>
        <v>58192.020000000004</v>
      </c>
      <c r="N67" s="50">
        <v>1.02</v>
      </c>
      <c r="Q67" s="52">
        <f>M67*N67+O67</f>
        <v>59355.860400000005</v>
      </c>
      <c r="R67" s="50">
        <v>1.02</v>
      </c>
      <c r="U67" s="52">
        <f>Q67*R67+S67</f>
        <v>60542.977608000008</v>
      </c>
      <c r="V67" s="50">
        <v>1.02</v>
      </c>
      <c r="Y67" s="52">
        <f>U67*V67+W67</f>
        <v>61753.837160160008</v>
      </c>
      <c r="Z67" s="50">
        <v>1.02</v>
      </c>
      <c r="AC67" s="52">
        <f>Y67*Z67+AA67</f>
        <v>62988.913903363209</v>
      </c>
    </row>
    <row r="68" spans="1:29" x14ac:dyDescent="0.25">
      <c r="A68" s="21" t="s">
        <v>57</v>
      </c>
      <c r="B68" s="54">
        <f>SUM(B58:B67)</f>
        <v>558754</v>
      </c>
      <c r="I68" s="54">
        <f>SUM(I58:I67)</f>
        <v>5284508</v>
      </c>
      <c r="J68" s="50">
        <f>M68/I68</f>
        <v>1.0199999999999998</v>
      </c>
      <c r="K68" s="54">
        <f>SUM(K58:K67)</f>
        <v>0</v>
      </c>
      <c r="L68" s="54"/>
      <c r="M68" s="54">
        <f>SUM(M58:M67)</f>
        <v>5390198.1599999992</v>
      </c>
      <c r="N68" s="50">
        <f>Q68/M68</f>
        <v>1.0200000000000005</v>
      </c>
      <c r="O68" s="54">
        <f>SUM(O58:O67)</f>
        <v>0</v>
      </c>
      <c r="P68" s="54"/>
      <c r="Q68" s="54">
        <f>SUM(Q58:Q67)</f>
        <v>5498002.1232000012</v>
      </c>
      <c r="R68" s="50">
        <f>U68/Q68</f>
        <v>1.0199999999999998</v>
      </c>
      <c r="S68" s="54">
        <f>SUM(S58:S67)</f>
        <v>0</v>
      </c>
      <c r="T68" s="54"/>
      <c r="U68" s="54">
        <f>SUM(U58:U67)</f>
        <v>5607962.1656639995</v>
      </c>
      <c r="V68" s="50">
        <f>Y68/U68</f>
        <v>1.0200000000000002</v>
      </c>
      <c r="W68" s="54">
        <f>SUM(W58:W67)</f>
        <v>0</v>
      </c>
      <c r="X68" s="54"/>
      <c r="Y68" s="54">
        <f>SUM(Y58:Y67)</f>
        <v>5720121.4089772804</v>
      </c>
      <c r="Z68" s="50">
        <f>AC68/Y68</f>
        <v>1.02</v>
      </c>
      <c r="AA68" s="54">
        <f>SUM(AA58:AA67)</f>
        <v>0</v>
      </c>
      <c r="AB68" s="54"/>
      <c r="AC68" s="54">
        <f>SUM(AC58:AC67)</f>
        <v>5834523.8371568257</v>
      </c>
    </row>
    <row r="69" spans="1:29" x14ac:dyDescent="0.25">
      <c r="A69" s="48"/>
      <c r="B69" s="55"/>
      <c r="I69" s="55"/>
    </row>
    <row r="70" spans="1:29" x14ac:dyDescent="0.25">
      <c r="A70" s="48" t="s">
        <v>58</v>
      </c>
      <c r="B70" s="55"/>
      <c r="I70" s="55"/>
    </row>
    <row r="71" spans="1:29" x14ac:dyDescent="0.25">
      <c r="A71" s="48" t="s">
        <v>59</v>
      </c>
      <c r="B71" s="49">
        <v>58648</v>
      </c>
      <c r="H71" s="8">
        <v>13</v>
      </c>
      <c r="I71" s="49">
        <f>65853-9834</f>
        <v>56019</v>
      </c>
      <c r="J71" s="50">
        <v>1.02</v>
      </c>
      <c r="M71" s="52">
        <f>I71*J71+K71</f>
        <v>57139.38</v>
      </c>
      <c r="N71" s="50">
        <v>1.02</v>
      </c>
      <c r="Q71" s="52">
        <f>M71*N71+O71</f>
        <v>58282.167600000001</v>
      </c>
      <c r="R71" s="50">
        <v>1.02</v>
      </c>
      <c r="U71" s="52">
        <f>Q71*R71+S71</f>
        <v>59447.810952</v>
      </c>
      <c r="V71" s="50">
        <v>1.02</v>
      </c>
      <c r="Y71" s="52">
        <f>U71*V71+W71</f>
        <v>60636.767171040003</v>
      </c>
      <c r="Z71" s="50">
        <v>1.02</v>
      </c>
      <c r="AC71" s="52">
        <f>Y71*Z71+AA71</f>
        <v>61849.502514460801</v>
      </c>
    </row>
    <row r="72" spans="1:29" x14ac:dyDescent="0.25">
      <c r="A72" s="48" t="s">
        <v>60</v>
      </c>
      <c r="B72" s="49"/>
      <c r="I72" s="49"/>
    </row>
    <row r="73" spans="1:29" x14ac:dyDescent="0.25">
      <c r="A73" s="48" t="s">
        <v>61</v>
      </c>
      <c r="B73" s="49"/>
      <c r="I73" s="49"/>
    </row>
    <row r="74" spans="1:29" x14ac:dyDescent="0.25">
      <c r="A74" s="48" t="s">
        <v>62</v>
      </c>
      <c r="B74" s="49">
        <v>78894</v>
      </c>
      <c r="I74" s="49">
        <f>I151</f>
        <v>424875</v>
      </c>
      <c r="J74" s="50">
        <v>1.02</v>
      </c>
      <c r="M74" s="52">
        <f>I74*J74+K74</f>
        <v>433372.5</v>
      </c>
      <c r="N74" s="50">
        <v>1.02</v>
      </c>
      <c r="Q74" s="52">
        <f>M74*N74+O74</f>
        <v>442039.95</v>
      </c>
      <c r="R74" s="50">
        <v>1.02</v>
      </c>
      <c r="U74" s="52">
        <f>Q74*R74+S74</f>
        <v>450880.74900000001</v>
      </c>
      <c r="V74" s="50">
        <v>1.02</v>
      </c>
      <c r="Y74" s="52">
        <f>U74*V74+W74</f>
        <v>459898.36398000002</v>
      </c>
      <c r="Z74" s="50">
        <v>1.02</v>
      </c>
      <c r="AC74" s="52">
        <f>Y74*Z74+AA74</f>
        <v>469096.33125960006</v>
      </c>
    </row>
    <row r="75" spans="1:29" x14ac:dyDescent="0.25">
      <c r="A75" s="48" t="s">
        <v>63</v>
      </c>
      <c r="B75" s="49"/>
      <c r="H75" s="8">
        <v>18</v>
      </c>
      <c r="I75" s="49">
        <v>12694</v>
      </c>
      <c r="J75" s="50">
        <v>1.02</v>
      </c>
      <c r="M75" s="52">
        <f>I75*J75+K75</f>
        <v>12947.880000000001</v>
      </c>
      <c r="N75" s="50">
        <v>1.02</v>
      </c>
      <c r="Q75" s="52">
        <f>M75*N75+O75</f>
        <v>13206.837600000001</v>
      </c>
      <c r="R75" s="50">
        <v>1.02</v>
      </c>
      <c r="U75" s="52">
        <f>Q75*R75+S75</f>
        <v>13470.974352000001</v>
      </c>
      <c r="V75" s="50">
        <v>1.02</v>
      </c>
      <c r="Y75" s="52">
        <f>U75*V75+W75</f>
        <v>13740.393839040002</v>
      </c>
      <c r="Z75" s="50">
        <v>1.02</v>
      </c>
      <c r="AC75" s="52">
        <f>Y75*Z75+AA75</f>
        <v>14015.201715820802</v>
      </c>
    </row>
    <row r="76" spans="1:29" x14ac:dyDescent="0.25">
      <c r="A76" s="21" t="s">
        <v>64</v>
      </c>
      <c r="B76" s="54">
        <f>SUM(B71:B75)</f>
        <v>137542</v>
      </c>
      <c r="I76" s="54">
        <f>SUM(I71:I75)</f>
        <v>493588</v>
      </c>
      <c r="J76" s="50">
        <f>M76/I76</f>
        <v>1.02</v>
      </c>
      <c r="K76" s="54">
        <f>SUM(K71:K75)</f>
        <v>0</v>
      </c>
      <c r="L76" s="54"/>
      <c r="M76" s="54">
        <f>SUM(M71:M75)</f>
        <v>503459.76</v>
      </c>
      <c r="N76" s="50">
        <f>Q76/M76</f>
        <v>1.02</v>
      </c>
      <c r="O76" s="54">
        <f>SUM(O71:O75)</f>
        <v>0</v>
      </c>
      <c r="P76" s="54"/>
      <c r="Q76" s="54">
        <f>SUM(Q71:Q75)</f>
        <v>513528.95520000003</v>
      </c>
      <c r="R76" s="50">
        <f>U76/Q76</f>
        <v>1.02</v>
      </c>
      <c r="S76" s="54">
        <f>SUM(S71:S75)</f>
        <v>0</v>
      </c>
      <c r="T76" s="54"/>
      <c r="U76" s="54">
        <f>SUM(U71:U75)</f>
        <v>523799.53430400003</v>
      </c>
      <c r="V76" s="50">
        <f>Y76/U76</f>
        <v>1.02</v>
      </c>
      <c r="W76" s="54">
        <f>SUM(W71:W75)</f>
        <v>0</v>
      </c>
      <c r="X76" s="54"/>
      <c r="Y76" s="54">
        <f>SUM(Y71:Y75)</f>
        <v>534275.52499008004</v>
      </c>
      <c r="Z76" s="50">
        <f>AC76/Y76</f>
        <v>1.02</v>
      </c>
      <c r="AA76" s="54">
        <f>SUM(AA71:AA75)</f>
        <v>0</v>
      </c>
      <c r="AB76" s="54"/>
      <c r="AC76" s="54">
        <f>SUM(AC71:AC75)</f>
        <v>544961.03548988164</v>
      </c>
    </row>
    <row r="77" spans="1:29" x14ac:dyDescent="0.25">
      <c r="A77" s="48"/>
      <c r="B77" s="55"/>
      <c r="I77" s="55"/>
    </row>
    <row r="78" spans="1:29" x14ac:dyDescent="0.25">
      <c r="A78" s="60" t="s">
        <v>65</v>
      </c>
      <c r="B78" s="25">
        <v>121186</v>
      </c>
      <c r="H78" s="8">
        <v>17</v>
      </c>
      <c r="I78" s="25">
        <v>116983</v>
      </c>
      <c r="J78" s="50">
        <v>1</v>
      </c>
      <c r="M78" s="52">
        <f>I78*J78+K78</f>
        <v>116983</v>
      </c>
      <c r="N78" s="50">
        <v>1</v>
      </c>
      <c r="Q78" s="52">
        <f>M78*N78+O78</f>
        <v>116983</v>
      </c>
      <c r="R78" s="50">
        <v>1</v>
      </c>
      <c r="U78" s="52">
        <f>Q78*R78+S78</f>
        <v>116983</v>
      </c>
      <c r="V78" s="50">
        <v>1</v>
      </c>
      <c r="Y78" s="52">
        <f>U78*V78+W78</f>
        <v>116983</v>
      </c>
      <c r="Z78" s="50">
        <v>1</v>
      </c>
      <c r="AC78" s="52">
        <f>Y78*Z78+AA78</f>
        <v>116983</v>
      </c>
    </row>
    <row r="79" spans="1:29" x14ac:dyDescent="0.25">
      <c r="A79" s="60" t="s">
        <v>66</v>
      </c>
      <c r="B79" s="25"/>
      <c r="I79" s="25"/>
    </row>
    <row r="80" spans="1:29" x14ac:dyDescent="0.25">
      <c r="A80" s="21" t="s">
        <v>67</v>
      </c>
      <c r="B80" s="54">
        <f>B78+B76+B68+B55+B50</f>
        <v>4586098.76</v>
      </c>
      <c r="I80" s="54">
        <f>I78+I76+I68+I55+I50</f>
        <v>9754375.8008995354</v>
      </c>
      <c r="J80" s="50">
        <f>M80/I80</f>
        <v>1.0168266791484264</v>
      </c>
      <c r="K80" s="54">
        <f>K78+K76+K68+K55+K50</f>
        <v>0</v>
      </c>
      <c r="L80" s="54"/>
      <c r="M80" s="54">
        <f>M78+M76+M68+M55+M50</f>
        <v>9918509.5527944472</v>
      </c>
      <c r="N80" s="50">
        <f>Q80/M80</f>
        <v>1.0168503427860787</v>
      </c>
      <c r="O80" s="54">
        <f>O78+O76+O68+O55+O50</f>
        <v>0</v>
      </c>
      <c r="P80" s="54"/>
      <c r="Q80" s="54">
        <f>Q78+Q76+Q68+Q55+Q50</f>
        <v>10085639.83868603</v>
      </c>
      <c r="R80" s="50">
        <f>U80/Q80</f>
        <v>1.0168738812687901</v>
      </c>
      <c r="S80" s="54">
        <f>S78+S76+S68+S55+S50</f>
        <v>0</v>
      </c>
      <c r="T80" s="54"/>
      <c r="U80" s="54">
        <f>U78+U76+U68+U55+U50</f>
        <v>10255823.727843799</v>
      </c>
      <c r="V80" s="50">
        <f>Y80/U80</f>
        <v>1.0168972945580455</v>
      </c>
      <c r="W80" s="54">
        <f>W78+W76+W68+W55+W50</f>
        <v>0</v>
      </c>
      <c r="X80" s="54"/>
      <c r="Y80" s="54">
        <f>Y78+Y76+Y68+Y55+Y50</f>
        <v>10429119.402308566</v>
      </c>
      <c r="Z80" s="50">
        <f>AC80/Y80</f>
        <v>1.0169205826250372</v>
      </c>
      <c r="AA80" s="54">
        <f>AA78+AA76+AA68+AA55+AA50</f>
        <v>0</v>
      </c>
      <c r="AB80" s="54"/>
      <c r="AC80" s="54">
        <f>AC78+AC76+AC68+AC55+AC50</f>
        <v>10605586.178861706</v>
      </c>
    </row>
    <row r="81" spans="1:29" x14ac:dyDescent="0.25">
      <c r="A81" s="48"/>
      <c r="B81" s="55"/>
      <c r="I81" s="55"/>
    </row>
    <row r="82" spans="1:29" ht="27.6" x14ac:dyDescent="0.25">
      <c r="A82" s="26" t="s">
        <v>68</v>
      </c>
      <c r="B82" s="61">
        <f>B39-B80</f>
        <v>461682.24000000022</v>
      </c>
      <c r="I82" s="61">
        <f>I39-I80</f>
        <v>-4891995.860899535</v>
      </c>
      <c r="M82" s="61">
        <f>M39-M80</f>
        <v>-5150065.6127944468</v>
      </c>
      <c r="Q82" s="61">
        <f>Q39-Q80</f>
        <v>-5317195.8986860299</v>
      </c>
      <c r="U82" s="61">
        <f>U39-U80</f>
        <v>-5487379.7878437983</v>
      </c>
      <c r="Y82" s="61">
        <f>Y39-Y80</f>
        <v>-5615030.0312085664</v>
      </c>
      <c r="AC82" s="61">
        <f>AC39-AC80</f>
        <v>-5745394.9223507056</v>
      </c>
    </row>
    <row r="83" spans="1:29" x14ac:dyDescent="0.25">
      <c r="A83" s="26"/>
      <c r="B83" s="62"/>
      <c r="I83" s="62"/>
      <c r="M83" s="62"/>
      <c r="Q83" s="62"/>
      <c r="U83" s="62"/>
      <c r="Y83" s="62"/>
      <c r="AC83" s="62"/>
    </row>
    <row r="84" spans="1:29" x14ac:dyDescent="0.25">
      <c r="A84" s="26"/>
      <c r="B84" s="62"/>
      <c r="I84" s="62"/>
      <c r="M84" s="62"/>
      <c r="Q84" s="62"/>
      <c r="U84" s="62"/>
      <c r="Y84" s="62"/>
      <c r="AC84" s="62"/>
    </row>
    <row r="85" spans="1:29" x14ac:dyDescent="0.25">
      <c r="A85" s="63" t="s">
        <v>69</v>
      </c>
      <c r="B85" s="57"/>
      <c r="I85" s="57"/>
    </row>
    <row r="86" spans="1:29" x14ac:dyDescent="0.25">
      <c r="A86" s="8" t="s">
        <v>70</v>
      </c>
      <c r="B86" s="25">
        <v>366154</v>
      </c>
      <c r="I86" s="25"/>
    </row>
    <row r="87" spans="1:29" x14ac:dyDescent="0.25">
      <c r="A87" s="8" t="s">
        <v>71</v>
      </c>
      <c r="B87" s="25"/>
      <c r="I87" s="25"/>
    </row>
    <row r="88" spans="1:29" x14ac:dyDescent="0.25">
      <c r="A88" s="8" t="s">
        <v>72</v>
      </c>
      <c r="B88" s="25"/>
      <c r="I88" s="25"/>
    </row>
    <row r="89" spans="1:29" x14ac:dyDescent="0.25">
      <c r="A89" s="8" t="s">
        <v>139</v>
      </c>
      <c r="B89" s="25"/>
      <c r="I89" s="25"/>
    </row>
    <row r="90" spans="1:29" x14ac:dyDescent="0.25">
      <c r="A90" s="8" t="s">
        <v>73</v>
      </c>
      <c r="B90" s="25"/>
      <c r="I90" s="25"/>
    </row>
    <row r="91" spans="1:29" x14ac:dyDescent="0.25">
      <c r="A91" s="8" t="s">
        <v>73</v>
      </c>
      <c r="B91" s="25"/>
      <c r="I91" s="25"/>
    </row>
    <row r="92" spans="1:29" x14ac:dyDescent="0.25">
      <c r="A92" s="28" t="s">
        <v>74</v>
      </c>
      <c r="B92" s="61">
        <f>SUM(B82:B91)</f>
        <v>827836.24000000022</v>
      </c>
      <c r="I92" s="61">
        <f>SUM(I82:I91)</f>
        <v>-4891995.860899535</v>
      </c>
      <c r="M92" s="61">
        <f>SUM(M82:M91)</f>
        <v>-5150065.6127944468</v>
      </c>
      <c r="Q92" s="61">
        <f>SUM(Q82:Q91)</f>
        <v>-5317195.8986860299</v>
      </c>
      <c r="U92" s="61">
        <f>SUM(U82:U91)</f>
        <v>-5487379.7878437983</v>
      </c>
      <c r="Y92" s="61">
        <f>SUM(Y82:Y91)</f>
        <v>-5615030.0312085664</v>
      </c>
      <c r="AC92" s="61">
        <f>SUM(AC82:AC91)</f>
        <v>-5745394.9223507056</v>
      </c>
    </row>
    <row r="93" spans="1:29" x14ac:dyDescent="0.25">
      <c r="A93" s="8" t="s">
        <v>75</v>
      </c>
      <c r="B93" s="25"/>
      <c r="I93" s="25"/>
      <c r="M93" s="25"/>
      <c r="Q93" s="25"/>
      <c r="U93" s="25"/>
      <c r="Y93" s="25"/>
      <c r="AC93" s="25"/>
    </row>
    <row r="94" spans="1:29" ht="28.2" thickBot="1" x14ac:dyDescent="0.3">
      <c r="A94" s="30" t="s">
        <v>76</v>
      </c>
      <c r="B94" s="15">
        <f>B92</f>
        <v>827836.24000000022</v>
      </c>
      <c r="I94" s="15">
        <f>I92</f>
        <v>-4891995.860899535</v>
      </c>
      <c r="M94" s="15">
        <f>M92</f>
        <v>-5150065.6127944468</v>
      </c>
      <c r="Q94" s="15">
        <f>Q92</f>
        <v>-5317195.8986860299</v>
      </c>
      <c r="U94" s="15">
        <f>U92</f>
        <v>-5487379.7878437983</v>
      </c>
      <c r="Y94" s="15">
        <f>Y92</f>
        <v>-5615030.0312085664</v>
      </c>
      <c r="AC94" s="15">
        <f>AC92</f>
        <v>-5745394.9223507056</v>
      </c>
    </row>
    <row r="95" spans="1:29" ht="14.4" thickTop="1" x14ac:dyDescent="0.25"/>
    <row r="96" spans="1:29" ht="27.6" x14ac:dyDescent="0.25">
      <c r="A96" s="31" t="s">
        <v>77</v>
      </c>
      <c r="C96" s="64" t="s">
        <v>125</v>
      </c>
      <c r="D96" s="64" t="s">
        <v>126</v>
      </c>
      <c r="E96" s="64" t="s">
        <v>127</v>
      </c>
      <c r="F96" s="64" t="s">
        <v>158</v>
      </c>
      <c r="G96" s="64" t="s">
        <v>129</v>
      </c>
    </row>
    <row r="97" spans="1:9" x14ac:dyDescent="0.25">
      <c r="A97" s="47" t="s">
        <v>16</v>
      </c>
      <c r="B97" s="65"/>
      <c r="C97" s="66">
        <v>4027560</v>
      </c>
      <c r="D97" s="67"/>
      <c r="E97" s="67">
        <f>233717-56947</f>
        <v>176770</v>
      </c>
      <c r="F97" s="68"/>
      <c r="G97" s="68"/>
      <c r="H97" s="68">
        <f>SUM(C97:G97)</f>
        <v>4204330</v>
      </c>
      <c r="I97" s="44">
        <f>H97</f>
        <v>4204330</v>
      </c>
    </row>
    <row r="98" spans="1:9" x14ac:dyDescent="0.25">
      <c r="A98" s="47" t="s">
        <v>20</v>
      </c>
      <c r="B98" s="65"/>
      <c r="C98" s="66">
        <v>15645</v>
      </c>
      <c r="D98" s="66"/>
      <c r="E98" s="66"/>
      <c r="F98" s="68"/>
      <c r="G98" s="68"/>
      <c r="H98" s="68">
        <f t="shared" ref="H98:H109" si="7">SUM(C98:G98)</f>
        <v>15645</v>
      </c>
      <c r="I98" s="44">
        <f t="shared" ref="I98:I109" si="8">H98</f>
        <v>15645</v>
      </c>
    </row>
    <row r="99" spans="1:9" x14ac:dyDescent="0.25">
      <c r="A99" s="47" t="s">
        <v>21</v>
      </c>
      <c r="B99" s="65"/>
      <c r="C99" s="66"/>
      <c r="D99" s="66"/>
      <c r="E99" s="66"/>
      <c r="F99" s="68"/>
      <c r="G99" s="68"/>
      <c r="H99" s="68">
        <f t="shared" si="7"/>
        <v>0</v>
      </c>
      <c r="I99" s="44">
        <f t="shared" si="8"/>
        <v>0</v>
      </c>
    </row>
    <row r="100" spans="1:9" x14ac:dyDescent="0.25">
      <c r="A100" s="47" t="s">
        <v>22</v>
      </c>
      <c r="B100" s="65"/>
      <c r="C100" s="69"/>
      <c r="D100" s="69"/>
      <c r="E100" s="69"/>
      <c r="F100" s="69"/>
      <c r="G100" s="69"/>
      <c r="H100" s="69">
        <f t="shared" si="7"/>
        <v>0</v>
      </c>
      <c r="I100" s="44">
        <f t="shared" si="8"/>
        <v>0</v>
      </c>
    </row>
    <row r="101" spans="1:9" x14ac:dyDescent="0.25">
      <c r="A101" s="47" t="s">
        <v>23</v>
      </c>
      <c r="B101" s="65"/>
      <c r="C101" s="69"/>
      <c r="D101" s="69"/>
      <c r="E101" s="69"/>
      <c r="F101" s="69">
        <v>209271</v>
      </c>
      <c r="G101" s="69">
        <v>135297.11000000002</v>
      </c>
      <c r="H101" s="69"/>
      <c r="I101" s="44"/>
    </row>
    <row r="102" spans="1:9" x14ac:dyDescent="0.25">
      <c r="A102" s="47"/>
      <c r="B102" s="65"/>
      <c r="C102" s="69"/>
      <c r="D102" s="69"/>
      <c r="E102" s="69"/>
      <c r="F102" s="69"/>
      <c r="G102" s="69"/>
      <c r="H102" s="69"/>
      <c r="I102" s="44"/>
    </row>
    <row r="103" spans="1:9" x14ac:dyDescent="0.25">
      <c r="A103" s="70" t="s">
        <v>140</v>
      </c>
      <c r="B103" s="71">
        <f t="shared" ref="B103:G103" si="9">SUM(B97:B102)</f>
        <v>0</v>
      </c>
      <c r="C103" s="71">
        <f t="shared" si="9"/>
        <v>4043205</v>
      </c>
      <c r="D103" s="71">
        <f t="shared" si="9"/>
        <v>0</v>
      </c>
      <c r="E103" s="71">
        <f t="shared" si="9"/>
        <v>176770</v>
      </c>
      <c r="F103" s="71">
        <f t="shared" si="9"/>
        <v>209271</v>
      </c>
      <c r="G103" s="71">
        <f t="shared" si="9"/>
        <v>135297.11000000002</v>
      </c>
      <c r="H103" s="69">
        <f t="shared" si="7"/>
        <v>4564543.1100000003</v>
      </c>
      <c r="I103" s="44">
        <f t="shared" si="8"/>
        <v>4564543.1100000003</v>
      </c>
    </row>
    <row r="104" spans="1:9" x14ac:dyDescent="0.25">
      <c r="A104" s="47"/>
      <c r="B104" s="71"/>
      <c r="C104" s="69"/>
      <c r="D104" s="69"/>
      <c r="E104" s="69"/>
      <c r="F104" s="69"/>
      <c r="G104" s="69"/>
      <c r="H104" s="69">
        <f t="shared" si="7"/>
        <v>0</v>
      </c>
      <c r="I104" s="44">
        <f t="shared" si="8"/>
        <v>0</v>
      </c>
    </row>
    <row r="105" spans="1:9" x14ac:dyDescent="0.25">
      <c r="A105" s="47" t="s">
        <v>141</v>
      </c>
      <c r="B105" s="71"/>
      <c r="C105" s="72"/>
      <c r="D105" s="72"/>
      <c r="E105" s="72"/>
      <c r="F105" s="72"/>
      <c r="G105" s="72"/>
      <c r="H105" s="69">
        <f t="shared" si="7"/>
        <v>0</v>
      </c>
      <c r="I105" s="44">
        <f t="shared" si="8"/>
        <v>0</v>
      </c>
    </row>
    <row r="106" spans="1:9" x14ac:dyDescent="0.25">
      <c r="A106" s="47" t="s">
        <v>142</v>
      </c>
      <c r="B106" s="71"/>
      <c r="C106" s="72"/>
      <c r="D106" s="72"/>
      <c r="E106" s="72"/>
      <c r="F106" s="72"/>
      <c r="G106" s="72"/>
      <c r="H106" s="69">
        <f t="shared" si="7"/>
        <v>0</v>
      </c>
      <c r="I106" s="44">
        <f t="shared" si="8"/>
        <v>0</v>
      </c>
    </row>
    <row r="107" spans="1:9" x14ac:dyDescent="0.25">
      <c r="A107" s="47" t="s">
        <v>143</v>
      </c>
      <c r="B107" s="71"/>
      <c r="C107" s="72"/>
      <c r="D107" s="72"/>
      <c r="E107" s="72">
        <v>115401</v>
      </c>
      <c r="F107" s="72"/>
      <c r="G107" s="72"/>
      <c r="H107" s="69">
        <f t="shared" si="7"/>
        <v>115401</v>
      </c>
      <c r="I107" s="44">
        <f t="shared" si="8"/>
        <v>115401</v>
      </c>
    </row>
    <row r="108" spans="1:9" x14ac:dyDescent="0.25">
      <c r="A108" s="47" t="s">
        <v>144</v>
      </c>
      <c r="B108" s="71"/>
      <c r="C108" s="72"/>
      <c r="D108" s="72"/>
      <c r="E108" s="72"/>
      <c r="F108" s="72"/>
      <c r="G108" s="72">
        <v>88499.83</v>
      </c>
      <c r="H108" s="69">
        <f t="shared" si="7"/>
        <v>88499.83</v>
      </c>
      <c r="I108" s="44">
        <f t="shared" si="8"/>
        <v>88499.83</v>
      </c>
    </row>
    <row r="109" spans="1:9" x14ac:dyDescent="0.25">
      <c r="A109" s="47" t="s">
        <v>145</v>
      </c>
      <c r="B109" s="71"/>
      <c r="C109" s="72"/>
      <c r="D109" s="72"/>
      <c r="E109" s="72"/>
      <c r="F109" s="72"/>
      <c r="G109" s="72"/>
      <c r="H109" s="69">
        <f t="shared" si="7"/>
        <v>0</v>
      </c>
      <c r="I109" s="44">
        <f t="shared" si="8"/>
        <v>0</v>
      </c>
    </row>
    <row r="110" spans="1:9" x14ac:dyDescent="0.25">
      <c r="A110" s="47"/>
      <c r="B110" s="71"/>
      <c r="C110" s="73">
        <f>SUM(C103:C109)</f>
        <v>4043205</v>
      </c>
      <c r="D110" s="73">
        <f t="shared" ref="D110:I110" si="10">SUM(D103:D109)</f>
        <v>0</v>
      </c>
      <c r="E110" s="73">
        <f t="shared" si="10"/>
        <v>292171</v>
      </c>
      <c r="F110" s="73">
        <f t="shared" si="10"/>
        <v>209271</v>
      </c>
      <c r="G110" s="73">
        <f t="shared" si="10"/>
        <v>223796.94</v>
      </c>
      <c r="H110" s="73">
        <f t="shared" si="10"/>
        <v>4768443.9400000004</v>
      </c>
      <c r="I110" s="73">
        <f t="shared" si="10"/>
        <v>4768443.9400000004</v>
      </c>
    </row>
    <row r="111" spans="1:9" x14ac:dyDescent="0.25">
      <c r="B111" s="25"/>
      <c r="C111" s="52"/>
      <c r="D111" s="52"/>
      <c r="E111" s="52"/>
      <c r="F111" s="52"/>
      <c r="G111" s="52"/>
      <c r="H111" s="52"/>
      <c r="I111" s="52"/>
    </row>
    <row r="112" spans="1:9" x14ac:dyDescent="0.25">
      <c r="A112" s="8" t="s">
        <v>95</v>
      </c>
      <c r="B112" s="11">
        <v>195374</v>
      </c>
      <c r="C112" s="52"/>
      <c r="D112" s="52"/>
      <c r="E112" s="52"/>
      <c r="F112" s="52"/>
      <c r="G112" s="52"/>
      <c r="H112" s="52"/>
      <c r="I112" s="52"/>
    </row>
    <row r="113" spans="1:9" x14ac:dyDescent="0.25">
      <c r="A113" s="8" t="s">
        <v>96</v>
      </c>
      <c r="B113" s="11">
        <v>366153</v>
      </c>
      <c r="C113" s="52"/>
      <c r="D113" s="52"/>
      <c r="E113" s="52"/>
      <c r="F113" s="52"/>
      <c r="G113" s="52"/>
      <c r="H113" s="52"/>
      <c r="I113" s="52"/>
    </row>
    <row r="114" spans="1:9" x14ac:dyDescent="0.25">
      <c r="A114" s="74" t="s">
        <v>27</v>
      </c>
      <c r="B114" s="29">
        <v>561527</v>
      </c>
      <c r="C114" s="52"/>
      <c r="D114" s="52"/>
      <c r="E114" s="52"/>
      <c r="F114" s="52"/>
      <c r="G114" s="52"/>
      <c r="H114" s="52"/>
      <c r="I114" s="52"/>
    </row>
    <row r="115" spans="1:9" x14ac:dyDescent="0.25">
      <c r="B115" s="25"/>
      <c r="C115" s="52"/>
      <c r="D115" s="52"/>
      <c r="E115" s="52"/>
      <c r="F115" s="52"/>
      <c r="G115" s="52"/>
      <c r="H115" s="52"/>
      <c r="I115" s="52"/>
    </row>
    <row r="116" spans="1:9" s="75" customFormat="1" x14ac:dyDescent="0.25">
      <c r="A116" s="75" t="s">
        <v>146</v>
      </c>
      <c r="B116" s="76"/>
      <c r="I116" s="76">
        <f>I110-I39</f>
        <v>-93936</v>
      </c>
    </row>
    <row r="117" spans="1:9" x14ac:dyDescent="0.25">
      <c r="B117" s="11"/>
      <c r="I117" s="11"/>
    </row>
    <row r="118" spans="1:9" ht="14.4" x14ac:dyDescent="0.3">
      <c r="A118" s="77" t="s">
        <v>81</v>
      </c>
      <c r="B118" s="11"/>
      <c r="I118" s="11"/>
    </row>
    <row r="119" spans="1:9" ht="27.6" x14ac:dyDescent="0.25">
      <c r="B119" s="11"/>
      <c r="C119" s="64" t="s">
        <v>125</v>
      </c>
      <c r="D119" s="64" t="s">
        <v>126</v>
      </c>
      <c r="E119" s="64" t="s">
        <v>127</v>
      </c>
      <c r="F119" s="64" t="s">
        <v>158</v>
      </c>
      <c r="G119" s="64" t="s">
        <v>129</v>
      </c>
      <c r="I119" s="11"/>
    </row>
    <row r="120" spans="1:9" x14ac:dyDescent="0.25">
      <c r="A120" s="48" t="s">
        <v>35</v>
      </c>
      <c r="B120" s="11"/>
      <c r="I120" s="11"/>
    </row>
    <row r="121" spans="1:9" x14ac:dyDescent="0.25">
      <c r="A121" s="48" t="s">
        <v>36</v>
      </c>
      <c r="B121" s="11"/>
      <c r="C121" s="67">
        <f>182167/0.75</f>
        <v>242889.33333333334</v>
      </c>
      <c r="D121" s="67"/>
      <c r="E121" s="67"/>
      <c r="F121" s="67"/>
      <c r="G121" s="67"/>
      <c r="H121" s="46">
        <f>SUM(C121:G121)</f>
        <v>242889.33333333334</v>
      </c>
      <c r="I121" s="65">
        <f>H121+(H121/(H122+H121)*H124)</f>
        <v>188563.02907548656</v>
      </c>
    </row>
    <row r="122" spans="1:9" x14ac:dyDescent="0.25">
      <c r="A122" s="48" t="s">
        <v>37</v>
      </c>
      <c r="B122" s="11"/>
      <c r="C122" s="67">
        <f>3313783.14-C121</f>
        <v>3070893.8066666666</v>
      </c>
      <c r="D122" s="67"/>
      <c r="E122" s="67"/>
      <c r="F122" s="67">
        <f>205437</f>
        <v>205437</v>
      </c>
      <c r="G122" s="67">
        <v>166582.27230769233</v>
      </c>
      <c r="H122" s="46">
        <f>SUM(C122:G122)</f>
        <v>3442913.0789743587</v>
      </c>
      <c r="I122" s="65">
        <f>H122+(H122/(H122+H121)*H124)</f>
        <v>2672847.3832322056</v>
      </c>
    </row>
    <row r="123" spans="1:9" x14ac:dyDescent="0.25">
      <c r="A123" s="48" t="s">
        <v>147</v>
      </c>
      <c r="B123" s="11"/>
      <c r="C123" s="67"/>
      <c r="D123" s="67"/>
      <c r="E123" s="67"/>
      <c r="F123" s="67"/>
      <c r="G123" s="67"/>
      <c r="H123" s="46">
        <f>SUM(C123:G123)</f>
        <v>0</v>
      </c>
      <c r="I123" s="65"/>
    </row>
    <row r="124" spans="1:9" x14ac:dyDescent="0.25">
      <c r="A124" s="48" t="s">
        <v>38</v>
      </c>
      <c r="B124" s="11"/>
      <c r="C124" s="67">
        <v>-741184</v>
      </c>
      <c r="D124" s="67"/>
      <c r="E124" s="67"/>
      <c r="F124" s="67">
        <v>-45949</v>
      </c>
      <c r="G124" s="67">
        <v>-37259</v>
      </c>
      <c r="H124" s="46">
        <f>SUM(C124:G124)</f>
        <v>-824392</v>
      </c>
      <c r="I124" s="65"/>
    </row>
    <row r="125" spans="1:9" x14ac:dyDescent="0.25">
      <c r="A125" s="9" t="s">
        <v>39</v>
      </c>
      <c r="B125" s="11"/>
      <c r="C125" s="78">
        <f>SUM(C121:C124)</f>
        <v>2572599.14</v>
      </c>
      <c r="D125" s="78">
        <f t="shared" ref="D125:I125" si="11">SUM(D121:D124)</f>
        <v>0</v>
      </c>
      <c r="E125" s="78">
        <f t="shared" si="11"/>
        <v>0</v>
      </c>
      <c r="F125" s="78">
        <f t="shared" si="11"/>
        <v>159488</v>
      </c>
      <c r="G125" s="78">
        <f t="shared" si="11"/>
        <v>129323.27230769233</v>
      </c>
      <c r="H125" s="78">
        <f t="shared" si="11"/>
        <v>2861410.4123076922</v>
      </c>
      <c r="I125" s="78">
        <f t="shared" si="11"/>
        <v>2861410.4123076922</v>
      </c>
    </row>
    <row r="126" spans="1:9" x14ac:dyDescent="0.25">
      <c r="A126" s="48" t="s">
        <v>40</v>
      </c>
      <c r="B126" s="79">
        <f>C49</f>
        <v>0.22366700554512031</v>
      </c>
      <c r="C126" s="46">
        <f>$B$126*(C122+C121)</f>
        <v>741183.95194970618</v>
      </c>
      <c r="D126" s="46">
        <f>0.21*(D122+D121)</f>
        <v>0</v>
      </c>
      <c r="E126" s="46">
        <f>0.21*(E122+E121)</f>
        <v>0</v>
      </c>
      <c r="F126" s="46">
        <f>$B$126*(F122+F121)</f>
        <v>45949.478618172885</v>
      </c>
      <c r="G126" s="46">
        <f>$B$126*(G122+G121)</f>
        <v>37258.958023963365</v>
      </c>
      <c r="H126" s="46">
        <f>SUM(C126:G126)</f>
        <v>824392.38859184249</v>
      </c>
      <c r="I126" s="65">
        <f>H126</f>
        <v>824392.38859184249</v>
      </c>
    </row>
    <row r="127" spans="1:9" x14ac:dyDescent="0.25">
      <c r="A127" s="21" t="s">
        <v>41</v>
      </c>
      <c r="B127" s="11"/>
      <c r="C127" s="78">
        <f t="shared" ref="C127:H127" si="12">SUM(C125:C126)</f>
        <v>3313783.0919497064</v>
      </c>
      <c r="D127" s="78">
        <f t="shared" si="12"/>
        <v>0</v>
      </c>
      <c r="E127" s="78">
        <f t="shared" si="12"/>
        <v>0</v>
      </c>
      <c r="F127" s="78">
        <f t="shared" si="12"/>
        <v>205437.47861817287</v>
      </c>
      <c r="G127" s="78">
        <f t="shared" si="12"/>
        <v>166582.23033165571</v>
      </c>
      <c r="H127" s="78">
        <f t="shared" si="12"/>
        <v>3685802.8008995345</v>
      </c>
      <c r="I127" s="71">
        <f>H127</f>
        <v>3685802.8008995345</v>
      </c>
    </row>
    <row r="128" spans="1:9" x14ac:dyDescent="0.25">
      <c r="A128" s="48"/>
      <c r="B128" s="11"/>
      <c r="I128" s="11"/>
    </row>
    <row r="129" spans="1:9" x14ac:dyDescent="0.25">
      <c r="A129" s="8" t="s">
        <v>82</v>
      </c>
      <c r="B129" s="44"/>
      <c r="H129" s="8">
        <v>2</v>
      </c>
      <c r="I129" s="11">
        <f>13893+9766</f>
        <v>23659</v>
      </c>
    </row>
    <row r="130" spans="1:9" x14ac:dyDescent="0.25">
      <c r="A130" s="8" t="s">
        <v>83</v>
      </c>
      <c r="B130" s="44"/>
      <c r="H130" s="8">
        <v>1</v>
      </c>
      <c r="I130" s="11">
        <v>87102</v>
      </c>
    </row>
    <row r="131" spans="1:9" x14ac:dyDescent="0.25">
      <c r="A131" s="13" t="s">
        <v>43</v>
      </c>
      <c r="B131" s="29">
        <f>SUM(B129:B130)</f>
        <v>0</v>
      </c>
      <c r="I131" s="29">
        <f>SUM(I129:I130)</f>
        <v>110761</v>
      </c>
    </row>
    <row r="132" spans="1:9" x14ac:dyDescent="0.25">
      <c r="B132" s="11"/>
      <c r="I132" s="11"/>
    </row>
    <row r="133" spans="1:9" x14ac:dyDescent="0.25">
      <c r="A133" s="8" t="s">
        <v>84</v>
      </c>
      <c r="B133" s="11">
        <v>2052</v>
      </c>
      <c r="H133" s="8">
        <v>3</v>
      </c>
      <c r="I133" s="11">
        <v>11255</v>
      </c>
    </row>
    <row r="134" spans="1:9" x14ac:dyDescent="0.25">
      <c r="A134" s="8" t="s">
        <v>85</v>
      </c>
      <c r="B134" s="11">
        <v>309452</v>
      </c>
      <c r="H134" s="8">
        <v>4</v>
      </c>
      <c r="I134" s="11">
        <v>4533443</v>
      </c>
    </row>
    <row r="135" spans="1:9" x14ac:dyDescent="0.25">
      <c r="A135" s="9" t="s">
        <v>47</v>
      </c>
      <c r="B135" s="29">
        <f>SUM(B133:B134)</f>
        <v>311504</v>
      </c>
      <c r="I135" s="29">
        <f>SUM(I133:I134)</f>
        <v>4544698</v>
      </c>
    </row>
    <row r="136" spans="1:9" x14ac:dyDescent="0.25">
      <c r="B136" s="25"/>
      <c r="I136" s="25"/>
    </row>
    <row r="137" spans="1:9" x14ac:dyDescent="0.25">
      <c r="A137" s="8" t="s">
        <v>86</v>
      </c>
      <c r="B137" s="11">
        <v>10</v>
      </c>
      <c r="I137" s="11"/>
    </row>
    <row r="138" spans="1:9" x14ac:dyDescent="0.25">
      <c r="A138" s="8" t="s">
        <v>87</v>
      </c>
      <c r="B138" s="11">
        <v>4577</v>
      </c>
      <c r="H138" s="8">
        <v>5</v>
      </c>
      <c r="I138" s="11">
        <v>36039</v>
      </c>
    </row>
    <row r="139" spans="1:9" x14ac:dyDescent="0.25">
      <c r="A139" s="8" t="s">
        <v>88</v>
      </c>
      <c r="B139" s="11">
        <v>20540</v>
      </c>
      <c r="H139" s="8">
        <v>6</v>
      </c>
      <c r="I139" s="11">
        <v>13261</v>
      </c>
    </row>
    <row r="140" spans="1:9" x14ac:dyDescent="0.25">
      <c r="A140" s="8" t="s">
        <v>89</v>
      </c>
      <c r="B140" s="11"/>
      <c r="I140" s="11"/>
    </row>
    <row r="141" spans="1:9" x14ac:dyDescent="0.25">
      <c r="A141" s="8" t="s">
        <v>90</v>
      </c>
      <c r="B141" s="11"/>
      <c r="I141" s="11">
        <f>908+1535+2084+43+104+3077</f>
        <v>7751</v>
      </c>
    </row>
    <row r="142" spans="1:9" x14ac:dyDescent="0.25">
      <c r="A142" s="8" t="s">
        <v>99</v>
      </c>
      <c r="B142" s="11">
        <v>42</v>
      </c>
      <c r="I142" s="11"/>
    </row>
    <row r="143" spans="1:9" x14ac:dyDescent="0.25">
      <c r="A143" s="8" t="s">
        <v>100</v>
      </c>
      <c r="B143" s="11">
        <v>29663</v>
      </c>
      <c r="I143" s="11"/>
    </row>
    <row r="144" spans="1:9" x14ac:dyDescent="0.25">
      <c r="A144" s="8" t="s">
        <v>101</v>
      </c>
      <c r="B144" s="11">
        <v>14292</v>
      </c>
      <c r="I144" s="11"/>
    </row>
    <row r="145" spans="1:9" x14ac:dyDescent="0.25">
      <c r="B145" s="11"/>
      <c r="I145" s="11"/>
    </row>
    <row r="146" spans="1:9" x14ac:dyDescent="0.25">
      <c r="A146" s="13" t="s">
        <v>56</v>
      </c>
      <c r="B146" s="29">
        <f>SUM(B137:B145)</f>
        <v>69124</v>
      </c>
      <c r="I146" s="29">
        <f>SUM(I137:I145)</f>
        <v>57051</v>
      </c>
    </row>
    <row r="147" spans="1:9" x14ac:dyDescent="0.25">
      <c r="B147" s="11"/>
      <c r="I147" s="11"/>
    </row>
    <row r="148" spans="1:9" x14ac:dyDescent="0.25">
      <c r="A148" s="8" t="s">
        <v>91</v>
      </c>
      <c r="B148" s="11"/>
      <c r="H148" s="8">
        <v>7</v>
      </c>
      <c r="I148" s="11">
        <v>15394</v>
      </c>
    </row>
    <row r="149" spans="1:9" x14ac:dyDescent="0.25">
      <c r="A149" s="8" t="s">
        <v>92</v>
      </c>
      <c r="B149" s="11"/>
      <c r="H149" s="8">
        <v>16</v>
      </c>
      <c r="I149" s="11">
        <v>409481</v>
      </c>
    </row>
    <row r="150" spans="1:9" x14ac:dyDescent="0.25">
      <c r="B150" s="11"/>
      <c r="I150" s="11"/>
    </row>
    <row r="151" spans="1:9" x14ac:dyDescent="0.25">
      <c r="A151" s="13" t="s">
        <v>62</v>
      </c>
      <c r="B151" s="29">
        <f>SUM(B148:B150)</f>
        <v>0</v>
      </c>
      <c r="I151" s="29">
        <f>SUM(I148:I150)</f>
        <v>424875</v>
      </c>
    </row>
    <row r="152" spans="1:9" x14ac:dyDescent="0.25">
      <c r="B152" s="11"/>
      <c r="I152" s="11"/>
    </row>
    <row r="153" spans="1:9" x14ac:dyDescent="0.25">
      <c r="A153" s="8" t="s">
        <v>104</v>
      </c>
      <c r="B153" s="11">
        <v>6130</v>
      </c>
      <c r="I153" s="11"/>
    </row>
    <row r="154" spans="1:9" x14ac:dyDescent="0.25">
      <c r="A154" s="8" t="s">
        <v>105</v>
      </c>
      <c r="B154" s="11">
        <v>0</v>
      </c>
      <c r="I154" s="11"/>
    </row>
    <row r="155" spans="1:9" x14ac:dyDescent="0.25">
      <c r="A155" s="8" t="s">
        <v>106</v>
      </c>
      <c r="B155" s="11">
        <v>1973</v>
      </c>
      <c r="I155" s="11"/>
    </row>
    <row r="156" spans="1:9" x14ac:dyDescent="0.25">
      <c r="A156" s="13" t="s">
        <v>49</v>
      </c>
      <c r="B156" s="29">
        <f>SUM(B153:B155)</f>
        <v>8103</v>
      </c>
      <c r="I156" s="29">
        <f>SUM(I153:I155)</f>
        <v>0</v>
      </c>
    </row>
    <row r="157" spans="1:9" x14ac:dyDescent="0.25">
      <c r="B157" s="11"/>
      <c r="I157" s="11"/>
    </row>
    <row r="158" spans="1:9" x14ac:dyDescent="0.25">
      <c r="A158" s="8" t="s">
        <v>93</v>
      </c>
      <c r="B158" s="11">
        <v>21337</v>
      </c>
      <c r="H158" s="8">
        <v>8</v>
      </c>
      <c r="I158" s="11">
        <v>258371</v>
      </c>
    </row>
    <row r="159" spans="1:9" x14ac:dyDescent="0.25">
      <c r="A159" s="8" t="s">
        <v>94</v>
      </c>
      <c r="B159" s="11">
        <v>19535</v>
      </c>
      <c r="H159" s="8">
        <v>9</v>
      </c>
      <c r="I159" s="11">
        <v>56833</v>
      </c>
    </row>
    <row r="160" spans="1:9" x14ac:dyDescent="0.25">
      <c r="A160" s="8" t="s">
        <v>160</v>
      </c>
      <c r="B160" s="11">
        <v>79193</v>
      </c>
      <c r="I160" s="11"/>
    </row>
    <row r="161" spans="1:9" x14ac:dyDescent="0.25">
      <c r="B161" s="11"/>
      <c r="I161" s="11"/>
    </row>
    <row r="162" spans="1:9" x14ac:dyDescent="0.25">
      <c r="A162" s="13" t="s">
        <v>52</v>
      </c>
      <c r="B162" s="29">
        <f>SUM(B158:B161)</f>
        <v>120065</v>
      </c>
      <c r="I162" s="29">
        <f>SUM(I158:I161)</f>
        <v>315204</v>
      </c>
    </row>
    <row r="163" spans="1:9" x14ac:dyDescent="0.25">
      <c r="B163" s="25"/>
      <c r="I163" s="25"/>
    </row>
    <row r="164" spans="1:9" ht="27.6" hidden="1" x14ac:dyDescent="0.25">
      <c r="C164" s="42" t="s">
        <v>125</v>
      </c>
      <c r="D164" s="42" t="s">
        <v>126</v>
      </c>
      <c r="E164" s="42" t="s">
        <v>127</v>
      </c>
      <c r="F164" s="42" t="s">
        <v>128</v>
      </c>
      <c r="G164" s="42" t="s">
        <v>129</v>
      </c>
      <c r="H164" s="42" t="s">
        <v>130</v>
      </c>
    </row>
    <row r="165" spans="1:9" hidden="1" x14ac:dyDescent="0.25">
      <c r="A165" s="34" t="s">
        <v>72</v>
      </c>
    </row>
    <row r="166" spans="1:9" hidden="1" x14ac:dyDescent="0.25">
      <c r="A166" s="34" t="s">
        <v>148</v>
      </c>
      <c r="C166" s="69">
        <v>733735</v>
      </c>
      <c r="D166" s="69">
        <v>248868</v>
      </c>
      <c r="E166" s="69">
        <v>9280</v>
      </c>
      <c r="F166" s="69"/>
      <c r="G166" s="69"/>
      <c r="H166" s="46">
        <f>SUM(C166:G166)</f>
        <v>991883</v>
      </c>
    </row>
    <row r="167" spans="1:9" hidden="1" x14ac:dyDescent="0.25">
      <c r="A167" s="34" t="s">
        <v>149</v>
      </c>
      <c r="C167" s="69"/>
      <c r="D167" s="69"/>
      <c r="E167" s="69">
        <v>9280</v>
      </c>
      <c r="F167" s="69"/>
      <c r="G167" s="69"/>
      <c r="H167" s="46">
        <f>SUM(C167:G167)</f>
        <v>9280</v>
      </c>
    </row>
    <row r="168" spans="1:9" hidden="1" x14ac:dyDescent="0.25">
      <c r="A168" s="80" t="s">
        <v>150</v>
      </c>
      <c r="C168" s="69">
        <f>C166-C167</f>
        <v>733735</v>
      </c>
      <c r="D168" s="69">
        <f>D166-D167</f>
        <v>248868</v>
      </c>
      <c r="E168" s="69">
        <f>E166-E167</f>
        <v>0</v>
      </c>
      <c r="F168" s="69">
        <f>F166-F167</f>
        <v>0</v>
      </c>
      <c r="G168" s="69">
        <f>G166-G167</f>
        <v>0</v>
      </c>
      <c r="H168" s="46">
        <f>SUM(C168:G168)</f>
        <v>982603</v>
      </c>
    </row>
    <row r="169" spans="1:9" hidden="1" x14ac:dyDescent="0.25">
      <c r="A169" s="34"/>
    </row>
    <row r="170" spans="1:9" ht="14.4" x14ac:dyDescent="0.3">
      <c r="A170" s="81"/>
    </row>
    <row r="171" spans="1:9" x14ac:dyDescent="0.25">
      <c r="A171" s="34"/>
    </row>
    <row r="172" spans="1:9" x14ac:dyDescent="0.25">
      <c r="A172" s="34"/>
    </row>
    <row r="173" spans="1:9" x14ac:dyDescent="0.25">
      <c r="A173" s="34"/>
    </row>
    <row r="174" spans="1:9" x14ac:dyDescent="0.25">
      <c r="A174" s="34"/>
    </row>
    <row r="175" spans="1:9" x14ac:dyDescent="0.25">
      <c r="A175" s="34"/>
    </row>
    <row r="176" spans="1:9" x14ac:dyDescent="0.25">
      <c r="A176" s="34"/>
    </row>
    <row r="177" spans="1:1" x14ac:dyDescent="0.25">
      <c r="A177" s="34"/>
    </row>
    <row r="178" spans="1:1" x14ac:dyDescent="0.25">
      <c r="A178" s="34"/>
    </row>
    <row r="179" spans="1:1" x14ac:dyDescent="0.25">
      <c r="A179" s="34"/>
    </row>
    <row r="180" spans="1:1" x14ac:dyDescent="0.25">
      <c r="A180" s="34"/>
    </row>
    <row r="181" spans="1:1" x14ac:dyDescent="0.25">
      <c r="A181" s="34"/>
    </row>
    <row r="182" spans="1:1" x14ac:dyDescent="0.25">
      <c r="A182" s="34"/>
    </row>
    <row r="183" spans="1:1" x14ac:dyDescent="0.25">
      <c r="A183" s="82"/>
    </row>
    <row r="184" spans="1:1" x14ac:dyDescent="0.25">
      <c r="A184" s="34"/>
    </row>
    <row r="185" spans="1:1" x14ac:dyDescent="0.25">
      <c r="A185" s="34"/>
    </row>
    <row r="186" spans="1:1" x14ac:dyDescent="0.25">
      <c r="A186" s="34"/>
    </row>
    <row r="187" spans="1:1" x14ac:dyDescent="0.25">
      <c r="A187" s="34"/>
    </row>
    <row r="188" spans="1:1" x14ac:dyDescent="0.25">
      <c r="A188" s="34"/>
    </row>
    <row r="189" spans="1:1" x14ac:dyDescent="0.25">
      <c r="A189" s="82"/>
    </row>
    <row r="190" spans="1:1" x14ac:dyDescent="0.25">
      <c r="A190" s="34"/>
    </row>
    <row r="191" spans="1:1" x14ac:dyDescent="0.25">
      <c r="A191" s="34"/>
    </row>
    <row r="192" spans="1:1" x14ac:dyDescent="0.25">
      <c r="A192" s="34"/>
    </row>
    <row r="193" spans="1:1" x14ac:dyDescent="0.25">
      <c r="A193" s="34"/>
    </row>
    <row r="194" spans="1:1" x14ac:dyDescent="0.25">
      <c r="A194" s="34"/>
    </row>
    <row r="195" spans="1:1" x14ac:dyDescent="0.25">
      <c r="A195" s="82"/>
    </row>
  </sheetData>
  <pageMargins left="0.11811023622047245" right="0.11811023622047245" top="0.55118110236220474" bottom="0.35433070866141736" header="0.31496062992125984" footer="0.31496062992125984"/>
  <pageSetup scale="54" fitToHeight="5" orientation="landscape" r:id="rId1"/>
  <headerFooter>
    <oddHeader>&amp;R&amp;P of &amp;N</oddHeader>
    <oddFooter>&amp;R&amp;F  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145"/>
  <sheetViews>
    <sheetView zoomScaleNormal="100" workbookViewId="0">
      <pane xSplit="1" ySplit="1" topLeftCell="C62" activePane="bottomRight" state="frozen"/>
      <selection pane="topRight" activeCell="B1" sqref="B1"/>
      <selection pane="bottomLeft" activeCell="A2" sqref="A2"/>
      <selection pane="bottomRight" activeCell="A63" sqref="A63:A67"/>
    </sheetView>
  </sheetViews>
  <sheetFormatPr defaultColWidth="8.6640625" defaultRowHeight="13.8" x14ac:dyDescent="0.25"/>
  <cols>
    <col min="1" max="1" width="53" style="13" bestFit="1" customWidth="1"/>
    <col min="2" max="2" width="15.6640625" style="11" customWidth="1"/>
    <col min="3" max="3" width="14.33203125" style="11" bestFit="1" customWidth="1"/>
    <col min="4" max="4" width="14" style="8" customWidth="1"/>
    <col min="5" max="5" width="14.44140625" style="8" customWidth="1"/>
    <col min="6" max="6" width="13.44140625" style="8" customWidth="1"/>
    <col min="7" max="7" width="14.33203125" style="8" bestFit="1" customWidth="1"/>
    <col min="8" max="8" width="12.6640625" style="8" customWidth="1"/>
    <col min="9" max="9" width="13.33203125" style="8" customWidth="1"/>
    <col min="10" max="10" width="14.33203125" style="8" bestFit="1" customWidth="1"/>
    <col min="11" max="11" width="12.44140625" style="8" customWidth="1"/>
    <col min="12" max="12" width="13.44140625" style="8" customWidth="1"/>
    <col min="13" max="13" width="14.33203125" style="8" bestFit="1" customWidth="1"/>
    <col min="14" max="15" width="11.33203125" style="8" customWidth="1"/>
    <col min="16" max="16384" width="8.6640625" style="8"/>
  </cols>
  <sheetData>
    <row r="1" spans="1:15" s="5" customFormat="1" ht="39.450000000000003" customHeight="1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4" t="s">
        <v>7</v>
      </c>
      <c r="I1" s="4" t="s">
        <v>8</v>
      </c>
      <c r="J1" s="3" t="s">
        <v>9</v>
      </c>
      <c r="K1" s="4" t="s">
        <v>10</v>
      </c>
      <c r="L1" s="4" t="s">
        <v>11</v>
      </c>
      <c r="M1" s="3" t="s">
        <v>12</v>
      </c>
      <c r="N1" s="4" t="s">
        <v>13</v>
      </c>
      <c r="O1" s="4" t="s">
        <v>14</v>
      </c>
    </row>
    <row r="2" spans="1:15" x14ac:dyDescent="0.25">
      <c r="A2" s="6" t="s">
        <v>15</v>
      </c>
      <c r="B2" s="7"/>
      <c r="C2" s="7"/>
    </row>
    <row r="3" spans="1:15" x14ac:dyDescent="0.25">
      <c r="A3" s="9"/>
      <c r="B3" s="10"/>
      <c r="C3" s="10"/>
    </row>
    <row r="4" spans="1:15" x14ac:dyDescent="0.25">
      <c r="A4" s="9" t="s">
        <v>16</v>
      </c>
      <c r="B4" s="10"/>
      <c r="C4" s="10"/>
      <c r="D4" s="10"/>
      <c r="E4" s="11">
        <f>D4-C4</f>
        <v>0</v>
      </c>
      <c r="G4" s="10"/>
      <c r="H4" s="11">
        <f t="shared" ref="H4:H13" si="0">G4-D4</f>
        <v>0</v>
      </c>
      <c r="J4" s="10"/>
      <c r="K4" s="11">
        <f t="shared" ref="K4:K13" si="1">J4-G4</f>
        <v>0</v>
      </c>
      <c r="M4" s="10"/>
      <c r="N4" s="11">
        <f t="shared" ref="N4:N13" si="2">M4-J4</f>
        <v>0</v>
      </c>
    </row>
    <row r="5" spans="1:15" x14ac:dyDescent="0.25">
      <c r="A5" s="12" t="s">
        <v>17</v>
      </c>
      <c r="B5" s="10"/>
      <c r="C5" s="10"/>
      <c r="D5" s="10"/>
      <c r="E5" s="11">
        <f t="shared" ref="E5:E13" si="3">D5-C5</f>
        <v>0</v>
      </c>
      <c r="G5" s="10"/>
      <c r="H5" s="11">
        <f t="shared" si="0"/>
        <v>0</v>
      </c>
      <c r="J5" s="10"/>
      <c r="K5" s="11">
        <f t="shared" si="1"/>
        <v>0</v>
      </c>
      <c r="M5" s="10"/>
      <c r="N5" s="11">
        <f t="shared" si="2"/>
        <v>0</v>
      </c>
    </row>
    <row r="6" spans="1:15" x14ac:dyDescent="0.25">
      <c r="A6" s="12" t="s">
        <v>204</v>
      </c>
      <c r="B6" s="10"/>
      <c r="C6" s="10"/>
      <c r="D6" s="10"/>
      <c r="E6" s="11"/>
      <c r="G6" s="10"/>
      <c r="H6" s="11"/>
      <c r="J6" s="10"/>
      <c r="K6" s="11"/>
      <c r="M6" s="10"/>
      <c r="N6" s="11"/>
    </row>
    <row r="7" spans="1:15" x14ac:dyDescent="0.25">
      <c r="A7" s="12" t="s">
        <v>205</v>
      </c>
      <c r="B7" s="10"/>
      <c r="C7" s="10"/>
      <c r="D7" s="10"/>
      <c r="E7" s="11"/>
      <c r="G7" s="10"/>
      <c r="H7" s="11"/>
      <c r="J7" s="10"/>
      <c r="K7" s="11"/>
      <c r="M7" s="10"/>
      <c r="N7" s="11"/>
    </row>
    <row r="8" spans="1:15" x14ac:dyDescent="0.25">
      <c r="A8" s="12" t="s">
        <v>18</v>
      </c>
      <c r="B8" s="10"/>
      <c r="C8" s="10"/>
      <c r="D8" s="10"/>
      <c r="E8" s="11">
        <f t="shared" si="3"/>
        <v>0</v>
      </c>
      <c r="G8" s="10"/>
      <c r="H8" s="11">
        <f t="shared" si="0"/>
        <v>0</v>
      </c>
      <c r="J8" s="10"/>
      <c r="K8" s="11">
        <f t="shared" si="1"/>
        <v>0</v>
      </c>
      <c r="M8" s="10"/>
      <c r="N8" s="11">
        <f t="shared" si="2"/>
        <v>0</v>
      </c>
    </row>
    <row r="9" spans="1:15" x14ac:dyDescent="0.25">
      <c r="A9" s="12" t="s">
        <v>19</v>
      </c>
      <c r="B9" s="10"/>
      <c r="C9" s="10"/>
      <c r="D9" s="10"/>
      <c r="E9" s="11">
        <f t="shared" si="3"/>
        <v>0</v>
      </c>
      <c r="G9" s="10"/>
      <c r="H9" s="11">
        <f t="shared" si="0"/>
        <v>0</v>
      </c>
      <c r="J9" s="10"/>
      <c r="K9" s="11">
        <f t="shared" si="1"/>
        <v>0</v>
      </c>
      <c r="M9" s="10"/>
      <c r="N9" s="11">
        <f t="shared" si="2"/>
        <v>0</v>
      </c>
    </row>
    <row r="10" spans="1:15" x14ac:dyDescent="0.25">
      <c r="A10" s="13" t="s">
        <v>20</v>
      </c>
      <c r="B10" s="10"/>
      <c r="C10" s="10"/>
      <c r="D10" s="10"/>
      <c r="E10" s="11">
        <f t="shared" si="3"/>
        <v>0</v>
      </c>
      <c r="G10" s="10"/>
      <c r="H10" s="11">
        <f t="shared" si="0"/>
        <v>0</v>
      </c>
      <c r="J10" s="10"/>
      <c r="K10" s="11">
        <f t="shared" si="1"/>
        <v>0</v>
      </c>
      <c r="M10" s="10"/>
      <c r="N10" s="11">
        <f t="shared" si="2"/>
        <v>0</v>
      </c>
    </row>
    <row r="11" spans="1:15" x14ac:dyDescent="0.25">
      <c r="A11" s="13" t="s">
        <v>21</v>
      </c>
      <c r="B11" s="10"/>
      <c r="C11" s="10"/>
      <c r="D11" s="10"/>
      <c r="E11" s="11">
        <f t="shared" si="3"/>
        <v>0</v>
      </c>
      <c r="G11" s="10"/>
      <c r="H11" s="11">
        <f t="shared" si="0"/>
        <v>0</v>
      </c>
      <c r="J11" s="10"/>
      <c r="K11" s="11">
        <f t="shared" si="1"/>
        <v>0</v>
      </c>
      <c r="M11" s="10"/>
      <c r="N11" s="11">
        <f t="shared" si="2"/>
        <v>0</v>
      </c>
    </row>
    <row r="12" spans="1:15" x14ac:dyDescent="0.25">
      <c r="A12" s="13" t="s">
        <v>22</v>
      </c>
      <c r="B12" s="10"/>
      <c r="C12" s="10"/>
      <c r="D12" s="10"/>
      <c r="E12" s="11">
        <f t="shared" si="3"/>
        <v>0</v>
      </c>
      <c r="G12" s="10"/>
      <c r="H12" s="11">
        <f t="shared" si="0"/>
        <v>0</v>
      </c>
      <c r="J12" s="10"/>
      <c r="K12" s="11">
        <f t="shared" si="1"/>
        <v>0</v>
      </c>
      <c r="M12" s="10"/>
      <c r="N12" s="11">
        <f t="shared" si="2"/>
        <v>0</v>
      </c>
    </row>
    <row r="13" spans="1:15" ht="15" customHeight="1" x14ac:dyDescent="0.25">
      <c r="A13" s="9" t="s">
        <v>23</v>
      </c>
      <c r="B13" s="10"/>
      <c r="C13" s="10"/>
      <c r="D13" s="10"/>
      <c r="E13" s="11">
        <f t="shared" si="3"/>
        <v>0</v>
      </c>
      <c r="G13" s="10"/>
      <c r="H13" s="11">
        <f t="shared" si="0"/>
        <v>0</v>
      </c>
      <c r="J13" s="10"/>
      <c r="K13" s="11">
        <f t="shared" si="1"/>
        <v>0</v>
      </c>
      <c r="M13" s="10"/>
      <c r="N13" s="11">
        <f t="shared" si="2"/>
        <v>0</v>
      </c>
    </row>
    <row r="14" spans="1:15" s="16" customFormat="1" ht="14.4" thickBot="1" x14ac:dyDescent="0.3">
      <c r="A14" s="14" t="s">
        <v>24</v>
      </c>
      <c r="B14" s="15">
        <f>SUM(B4:B13)</f>
        <v>0</v>
      </c>
      <c r="C14" s="15">
        <f>SUM(C4:C13)</f>
        <v>0</v>
      </c>
      <c r="D14" s="15">
        <f>SUM(D4:D13)</f>
        <v>0</v>
      </c>
      <c r="E14" s="15">
        <f t="shared" ref="E14:O14" si="4">SUM(E4:E13)</f>
        <v>0</v>
      </c>
      <c r="F14" s="15">
        <f t="shared" si="4"/>
        <v>0</v>
      </c>
      <c r="G14" s="15">
        <f>SUM(G4:G13)</f>
        <v>0</v>
      </c>
      <c r="H14" s="15">
        <f t="shared" si="4"/>
        <v>0</v>
      </c>
      <c r="I14" s="15">
        <f t="shared" si="4"/>
        <v>0</v>
      </c>
      <c r="J14" s="15">
        <f>SUM(J4:J13)</f>
        <v>0</v>
      </c>
      <c r="K14" s="15">
        <f t="shared" si="4"/>
        <v>0</v>
      </c>
      <c r="L14" s="15">
        <f t="shared" si="4"/>
        <v>0</v>
      </c>
      <c r="M14" s="15">
        <f>SUM(M4:M13)</f>
        <v>0</v>
      </c>
      <c r="N14" s="15">
        <f t="shared" si="4"/>
        <v>0</v>
      </c>
      <c r="O14" s="15">
        <f t="shared" si="4"/>
        <v>0</v>
      </c>
    </row>
    <row r="15" spans="1:15" ht="14.4" thickTop="1" x14ac:dyDescent="0.25">
      <c r="A15" s="9"/>
      <c r="B15" s="17"/>
      <c r="C15" s="17"/>
      <c r="D15" s="17"/>
      <c r="G15" s="17"/>
      <c r="J15" s="17"/>
      <c r="M15" s="17"/>
    </row>
    <row r="16" spans="1:15" ht="14.7" customHeight="1" x14ac:dyDescent="0.25">
      <c r="A16" s="9" t="s">
        <v>25</v>
      </c>
      <c r="B16" s="10">
        <f>'Detailed Support - Consol'!I30</f>
        <v>0</v>
      </c>
      <c r="C16" s="10">
        <f>'Detailed Support - Consol'!M30</f>
        <v>0</v>
      </c>
      <c r="D16" s="10">
        <f>'Detailed Support - Consol'!Q30</f>
        <v>0</v>
      </c>
      <c r="E16" s="11">
        <f t="shared" ref="E16:E21" si="5">D16-C16</f>
        <v>0</v>
      </c>
      <c r="G16" s="10">
        <f>'Detailed Support - Consol'!U30</f>
        <v>0</v>
      </c>
      <c r="H16" s="11">
        <f t="shared" ref="H16:H21" si="6">G16-D16</f>
        <v>0</v>
      </c>
      <c r="J16" s="10">
        <f>'Detailed Support - Consol'!Y30</f>
        <v>0</v>
      </c>
      <c r="K16" s="11">
        <f t="shared" ref="K16:K21" si="7">J16-G16</f>
        <v>0</v>
      </c>
      <c r="M16" s="10">
        <f>'Detailed Support - Consol'!AC30</f>
        <v>0</v>
      </c>
      <c r="N16" s="11">
        <f t="shared" ref="N16:N21" si="8">M16-J16</f>
        <v>0</v>
      </c>
    </row>
    <row r="17" spans="1:15" x14ac:dyDescent="0.25">
      <c r="A17" s="9" t="s">
        <v>26</v>
      </c>
      <c r="B17" s="10"/>
      <c r="C17" s="10"/>
      <c r="D17" s="10"/>
      <c r="E17" s="11">
        <f t="shared" si="5"/>
        <v>0</v>
      </c>
      <c r="G17" s="10"/>
      <c r="H17" s="11">
        <f t="shared" si="6"/>
        <v>0</v>
      </c>
      <c r="J17" s="10"/>
      <c r="K17" s="11">
        <f t="shared" si="7"/>
        <v>0</v>
      </c>
      <c r="M17" s="10"/>
      <c r="N17" s="11">
        <f t="shared" si="8"/>
        <v>0</v>
      </c>
    </row>
    <row r="18" spans="1:15" x14ac:dyDescent="0.25">
      <c r="A18" s="9" t="s">
        <v>27</v>
      </c>
      <c r="B18" s="10"/>
      <c r="C18" s="10"/>
      <c r="D18" s="10"/>
      <c r="E18" s="11">
        <f t="shared" si="5"/>
        <v>0</v>
      </c>
      <c r="G18" s="10"/>
      <c r="H18" s="11">
        <f t="shared" si="6"/>
        <v>0</v>
      </c>
      <c r="J18" s="10"/>
      <c r="K18" s="11">
        <f t="shared" si="7"/>
        <v>0</v>
      </c>
      <c r="M18" s="10"/>
      <c r="N18" s="11">
        <f t="shared" si="8"/>
        <v>0</v>
      </c>
    </row>
    <row r="19" spans="1:15" x14ac:dyDescent="0.25">
      <c r="A19" s="9" t="s">
        <v>28</v>
      </c>
      <c r="B19" s="10"/>
      <c r="C19" s="10"/>
      <c r="D19" s="10"/>
      <c r="E19" s="11">
        <f t="shared" si="5"/>
        <v>0</v>
      </c>
      <c r="G19" s="10"/>
      <c r="H19" s="11">
        <f t="shared" si="6"/>
        <v>0</v>
      </c>
      <c r="J19" s="10"/>
      <c r="K19" s="11">
        <f t="shared" si="7"/>
        <v>0</v>
      </c>
      <c r="M19" s="10"/>
      <c r="N19" s="11">
        <f t="shared" si="8"/>
        <v>0</v>
      </c>
    </row>
    <row r="20" spans="1:15" x14ac:dyDescent="0.25">
      <c r="A20" s="9" t="s">
        <v>29</v>
      </c>
      <c r="B20" s="10"/>
      <c r="C20" s="10"/>
      <c r="D20" s="10"/>
      <c r="E20" s="11">
        <f t="shared" si="5"/>
        <v>0</v>
      </c>
      <c r="G20" s="10"/>
      <c r="H20" s="11">
        <f t="shared" si="6"/>
        <v>0</v>
      </c>
      <c r="J20" s="10"/>
      <c r="K20" s="11">
        <f t="shared" si="7"/>
        <v>0</v>
      </c>
      <c r="M20" s="10"/>
      <c r="N20" s="11">
        <f t="shared" si="8"/>
        <v>0</v>
      </c>
    </row>
    <row r="21" spans="1:15" x14ac:dyDescent="0.25">
      <c r="A21" s="9" t="s">
        <v>30</v>
      </c>
      <c r="B21" s="10"/>
      <c r="C21" s="10"/>
      <c r="D21" s="10"/>
      <c r="E21" s="11">
        <f t="shared" si="5"/>
        <v>0</v>
      </c>
      <c r="G21" s="10"/>
      <c r="H21" s="11">
        <f t="shared" si="6"/>
        <v>0</v>
      </c>
      <c r="J21" s="10"/>
      <c r="K21" s="11">
        <f t="shared" si="7"/>
        <v>0</v>
      </c>
      <c r="M21" s="10"/>
      <c r="N21" s="11">
        <f t="shared" si="8"/>
        <v>0</v>
      </c>
    </row>
    <row r="22" spans="1:15" x14ac:dyDescent="0.25">
      <c r="A22" s="9" t="s">
        <v>31</v>
      </c>
      <c r="B22" s="18"/>
      <c r="C22" s="18"/>
      <c r="D22" s="18"/>
      <c r="E22" s="18">
        <f t="shared" ref="E22:O22" si="9">SUM(E16:E21)</f>
        <v>0</v>
      </c>
      <c r="F22" s="18">
        <f t="shared" si="9"/>
        <v>0</v>
      </c>
      <c r="G22" s="18"/>
      <c r="H22" s="18">
        <f t="shared" si="9"/>
        <v>0</v>
      </c>
      <c r="I22" s="18">
        <f t="shared" si="9"/>
        <v>0</v>
      </c>
      <c r="J22" s="18"/>
      <c r="K22" s="18">
        <f t="shared" si="9"/>
        <v>0</v>
      </c>
      <c r="L22" s="18">
        <f t="shared" si="9"/>
        <v>0</v>
      </c>
      <c r="M22" s="18"/>
      <c r="N22" s="18">
        <f t="shared" si="9"/>
        <v>0</v>
      </c>
      <c r="O22" s="18">
        <f t="shared" si="9"/>
        <v>0</v>
      </c>
    </row>
    <row r="23" spans="1:15" x14ac:dyDescent="0.25">
      <c r="A23" s="9"/>
      <c r="B23" s="19"/>
      <c r="C23" s="19"/>
      <c r="D23" s="19"/>
      <c r="G23" s="19"/>
      <c r="J23" s="19"/>
      <c r="M23" s="19"/>
    </row>
    <row r="24" spans="1:15" x14ac:dyDescent="0.25">
      <c r="A24" s="9" t="s">
        <v>32</v>
      </c>
      <c r="B24" s="19"/>
      <c r="C24" s="19"/>
      <c r="D24" s="19"/>
      <c r="G24" s="19"/>
      <c r="J24" s="19"/>
      <c r="M24" s="19"/>
    </row>
    <row r="25" spans="1:15" s="16" customFormat="1" ht="14.4" thickBot="1" x14ac:dyDescent="0.3">
      <c r="A25" s="14" t="s">
        <v>33</v>
      </c>
      <c r="B25" s="20">
        <f>B24+B22+B14</f>
        <v>0</v>
      </c>
      <c r="C25" s="20">
        <f>C24+C22+C14</f>
        <v>0</v>
      </c>
      <c r="D25" s="20">
        <f>D24+D22+D14</f>
        <v>0</v>
      </c>
      <c r="E25" s="20">
        <f t="shared" ref="E25:O25" si="10">E24+E22+E14</f>
        <v>0</v>
      </c>
      <c r="F25" s="20">
        <f t="shared" si="10"/>
        <v>0</v>
      </c>
      <c r="G25" s="20">
        <f>G24+G22+G14</f>
        <v>0</v>
      </c>
      <c r="H25" s="20">
        <f t="shared" si="10"/>
        <v>0</v>
      </c>
      <c r="I25" s="20">
        <f t="shared" si="10"/>
        <v>0</v>
      </c>
      <c r="J25" s="20">
        <f>J24+J22+J14</f>
        <v>0</v>
      </c>
      <c r="K25" s="20">
        <f t="shared" si="10"/>
        <v>0</v>
      </c>
      <c r="L25" s="20">
        <f t="shared" si="10"/>
        <v>0</v>
      </c>
      <c r="M25" s="20">
        <f>M24+M22+M14</f>
        <v>0</v>
      </c>
      <c r="N25" s="20">
        <f t="shared" si="10"/>
        <v>0</v>
      </c>
      <c r="O25" s="20">
        <f t="shared" si="10"/>
        <v>0</v>
      </c>
    </row>
    <row r="26" spans="1:15" ht="14.4" thickTop="1" x14ac:dyDescent="0.25">
      <c r="A26" s="9"/>
      <c r="B26" s="19"/>
      <c r="C26" s="19"/>
      <c r="D26" s="19"/>
      <c r="G26" s="19"/>
      <c r="J26" s="19"/>
      <c r="M26" s="19"/>
    </row>
    <row r="27" spans="1:15" x14ac:dyDescent="0.25">
      <c r="A27" s="6" t="s">
        <v>34</v>
      </c>
      <c r="B27" s="10"/>
      <c r="C27" s="10"/>
      <c r="D27" s="10"/>
      <c r="G27" s="10"/>
      <c r="J27" s="10"/>
      <c r="M27" s="10"/>
    </row>
    <row r="28" spans="1:15" ht="25.2" customHeight="1" x14ac:dyDescent="0.25">
      <c r="A28" s="9" t="s">
        <v>35</v>
      </c>
      <c r="B28" s="10"/>
      <c r="C28" s="10"/>
      <c r="D28" s="10"/>
      <c r="G28" s="10"/>
      <c r="J28" s="10"/>
      <c r="M28" s="10"/>
    </row>
    <row r="29" spans="1:15" x14ac:dyDescent="0.25">
      <c r="A29" s="9" t="s">
        <v>36</v>
      </c>
      <c r="B29" s="10"/>
      <c r="C29" s="10"/>
      <c r="D29" s="10"/>
      <c r="E29" s="11">
        <f t="shared" ref="E29:E34" si="11">D29-C29</f>
        <v>0</v>
      </c>
      <c r="G29" s="10"/>
      <c r="H29" s="11">
        <f>G29-D29</f>
        <v>0</v>
      </c>
      <c r="J29" s="10"/>
      <c r="K29" s="11">
        <f>J29-G29</f>
        <v>0</v>
      </c>
      <c r="M29" s="10"/>
      <c r="N29" s="11">
        <f>M29-J29</f>
        <v>0</v>
      </c>
    </row>
    <row r="30" spans="1:15" x14ac:dyDescent="0.25">
      <c r="A30" s="9" t="s">
        <v>37</v>
      </c>
      <c r="B30" s="10"/>
      <c r="C30" s="10"/>
      <c r="D30" s="10"/>
      <c r="E30" s="11">
        <f t="shared" si="11"/>
        <v>0</v>
      </c>
      <c r="G30" s="10"/>
      <c r="H30" s="11">
        <f>G30-D30</f>
        <v>0</v>
      </c>
      <c r="J30" s="10"/>
      <c r="K30" s="11">
        <f>J30-G30</f>
        <v>0</v>
      </c>
      <c r="M30" s="10"/>
      <c r="N30" s="11">
        <f>M30-J30</f>
        <v>0</v>
      </c>
    </row>
    <row r="31" spans="1:15" x14ac:dyDescent="0.25">
      <c r="A31" s="9" t="s">
        <v>38</v>
      </c>
      <c r="B31" s="10"/>
      <c r="C31" s="10"/>
      <c r="D31" s="10"/>
      <c r="E31" s="11">
        <f t="shared" si="11"/>
        <v>0</v>
      </c>
      <c r="G31" s="10"/>
      <c r="H31" s="11">
        <f>G31-D31</f>
        <v>0</v>
      </c>
      <c r="J31" s="10"/>
      <c r="K31" s="11">
        <f>J31-G31</f>
        <v>0</v>
      </c>
      <c r="M31" s="10"/>
      <c r="N31" s="11">
        <f>M31-J31</f>
        <v>0</v>
      </c>
    </row>
    <row r="32" spans="1:15" x14ac:dyDescent="0.25">
      <c r="A32" s="9" t="s">
        <v>39</v>
      </c>
      <c r="B32" s="17">
        <f>SUM(B29:B31)</f>
        <v>0</v>
      </c>
      <c r="C32" s="17">
        <f>SUM(C29:C31)</f>
        <v>0</v>
      </c>
      <c r="D32" s="17">
        <f>SUM(D29:D31)</f>
        <v>0</v>
      </c>
      <c r="E32" s="17">
        <f t="shared" ref="E32:O32" si="12">SUM(E29:E31)</f>
        <v>0</v>
      </c>
      <c r="F32" s="17">
        <f t="shared" si="12"/>
        <v>0</v>
      </c>
      <c r="G32" s="17">
        <f>SUM(G29:G31)</f>
        <v>0</v>
      </c>
      <c r="H32" s="17">
        <f t="shared" si="12"/>
        <v>0</v>
      </c>
      <c r="I32" s="17">
        <f t="shared" si="12"/>
        <v>0</v>
      </c>
      <c r="J32" s="17">
        <f>SUM(J29:J31)</f>
        <v>0</v>
      </c>
      <c r="K32" s="17">
        <f t="shared" si="12"/>
        <v>0</v>
      </c>
      <c r="L32" s="17">
        <f t="shared" si="12"/>
        <v>0</v>
      </c>
      <c r="M32" s="17">
        <f>SUM(M29:M31)</f>
        <v>0</v>
      </c>
      <c r="N32" s="17">
        <f t="shared" si="12"/>
        <v>0</v>
      </c>
      <c r="O32" s="17">
        <f t="shared" si="12"/>
        <v>0</v>
      </c>
    </row>
    <row r="33" spans="1:15" x14ac:dyDescent="0.25">
      <c r="A33" s="9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x14ac:dyDescent="0.25">
      <c r="A34" s="9" t="s">
        <v>40</v>
      </c>
      <c r="B34" s="10"/>
      <c r="C34" s="10"/>
      <c r="D34" s="10"/>
      <c r="E34" s="11">
        <f t="shared" si="11"/>
        <v>0</v>
      </c>
      <c r="G34" s="10"/>
      <c r="H34" s="11">
        <f>G34-D34</f>
        <v>0</v>
      </c>
      <c r="J34" s="10"/>
      <c r="K34" s="11">
        <f>J34-G34</f>
        <v>0</v>
      </c>
      <c r="M34" s="10"/>
      <c r="N34" s="11">
        <f>M34-J34</f>
        <v>0</v>
      </c>
    </row>
    <row r="35" spans="1:15" s="23" customFormat="1" x14ac:dyDescent="0.25">
      <c r="A35" s="21" t="s">
        <v>41</v>
      </c>
      <c r="B35" s="22">
        <f>SUM(B32:B34)</f>
        <v>0</v>
      </c>
      <c r="C35" s="22">
        <f>SUM(C32:C34)</f>
        <v>0</v>
      </c>
      <c r="D35" s="22">
        <f>SUM(D32:D34)</f>
        <v>0</v>
      </c>
      <c r="E35" s="22">
        <f t="shared" ref="E35:O35" si="13">SUM(E32:E34)</f>
        <v>0</v>
      </c>
      <c r="F35" s="22">
        <f t="shared" si="13"/>
        <v>0</v>
      </c>
      <c r="G35" s="22">
        <f>SUM(G32:G34)</f>
        <v>0</v>
      </c>
      <c r="H35" s="22">
        <f t="shared" si="13"/>
        <v>0</v>
      </c>
      <c r="I35" s="22">
        <f t="shared" si="13"/>
        <v>0</v>
      </c>
      <c r="J35" s="22">
        <f>SUM(J32:J34)</f>
        <v>0</v>
      </c>
      <c r="K35" s="22">
        <f t="shared" si="13"/>
        <v>0</v>
      </c>
      <c r="L35" s="22">
        <f t="shared" si="13"/>
        <v>0</v>
      </c>
      <c r="M35" s="22">
        <f>SUM(M32:M34)</f>
        <v>0</v>
      </c>
      <c r="N35" s="22">
        <f t="shared" si="13"/>
        <v>0</v>
      </c>
      <c r="O35" s="22">
        <f t="shared" si="13"/>
        <v>0</v>
      </c>
    </row>
    <row r="36" spans="1:15" x14ac:dyDescent="0.25">
      <c r="A36" s="9"/>
      <c r="B36" s="19"/>
      <c r="C36" s="19"/>
      <c r="D36" s="19"/>
      <c r="G36" s="19"/>
      <c r="J36" s="19"/>
      <c r="M36" s="19"/>
    </row>
    <row r="37" spans="1:15" ht="25.2" customHeight="1" x14ac:dyDescent="0.25">
      <c r="A37" s="9" t="s">
        <v>42</v>
      </c>
      <c r="B37" s="19"/>
      <c r="C37" s="19"/>
      <c r="D37" s="19"/>
      <c r="G37" s="19"/>
      <c r="J37" s="19"/>
      <c r="M37" s="19"/>
    </row>
    <row r="38" spans="1:15" x14ac:dyDescent="0.25">
      <c r="A38" s="9" t="s">
        <v>43</v>
      </c>
      <c r="B38" s="10"/>
      <c r="C38" s="10"/>
      <c r="D38" s="10"/>
      <c r="E38" s="11">
        <f>D38-C38</f>
        <v>0</v>
      </c>
      <c r="G38" s="10"/>
      <c r="H38" s="11">
        <f>G38-D38</f>
        <v>0</v>
      </c>
      <c r="J38" s="10"/>
      <c r="K38" s="11">
        <f>J38-G38</f>
        <v>0</v>
      </c>
      <c r="M38" s="10"/>
      <c r="N38" s="11">
        <f>M38-J38</f>
        <v>0</v>
      </c>
    </row>
    <row r="39" spans="1:15" x14ac:dyDescent="0.25">
      <c r="A39" s="9" t="s">
        <v>44</v>
      </c>
      <c r="B39" s="10"/>
      <c r="C39" s="10"/>
      <c r="D39" s="10"/>
      <c r="E39" s="11">
        <f>D39-C39</f>
        <v>0</v>
      </c>
      <c r="G39" s="10"/>
      <c r="H39" s="11">
        <f>G39-D39</f>
        <v>0</v>
      </c>
      <c r="J39" s="10"/>
      <c r="K39" s="11">
        <f>J39-G39</f>
        <v>0</v>
      </c>
      <c r="M39" s="10"/>
      <c r="N39" s="11">
        <f>M39-J39</f>
        <v>0</v>
      </c>
    </row>
    <row r="40" spans="1:15" s="23" customFormat="1" x14ac:dyDescent="0.25">
      <c r="A40" s="21" t="s">
        <v>45</v>
      </c>
      <c r="B40" s="22">
        <f>SUM(B38:B39)</f>
        <v>0</v>
      </c>
      <c r="C40" s="22">
        <f>SUM(C38:C39)</f>
        <v>0</v>
      </c>
      <c r="D40" s="22">
        <f>SUM(D38:D39)</f>
        <v>0</v>
      </c>
      <c r="E40" s="22">
        <f t="shared" ref="E40:O40" si="14">SUM(E38:E39)</f>
        <v>0</v>
      </c>
      <c r="F40" s="22">
        <f t="shared" si="14"/>
        <v>0</v>
      </c>
      <c r="G40" s="22">
        <f>SUM(G38:G39)</f>
        <v>0</v>
      </c>
      <c r="H40" s="22">
        <f t="shared" si="14"/>
        <v>0</v>
      </c>
      <c r="I40" s="22">
        <f t="shared" si="14"/>
        <v>0</v>
      </c>
      <c r="J40" s="22">
        <f>SUM(J38:J39)</f>
        <v>0</v>
      </c>
      <c r="K40" s="22">
        <f t="shared" si="14"/>
        <v>0</v>
      </c>
      <c r="L40" s="22">
        <f t="shared" si="14"/>
        <v>0</v>
      </c>
      <c r="M40" s="22">
        <f>SUM(M38:M39)</f>
        <v>0</v>
      </c>
      <c r="N40" s="22">
        <f t="shared" si="14"/>
        <v>0</v>
      </c>
      <c r="O40" s="22">
        <f t="shared" si="14"/>
        <v>0</v>
      </c>
    </row>
    <row r="41" spans="1:15" x14ac:dyDescent="0.25">
      <c r="A41" s="9"/>
      <c r="B41" s="19"/>
      <c r="C41" s="19"/>
      <c r="D41" s="19"/>
      <c r="G41" s="19"/>
      <c r="J41" s="19"/>
      <c r="M41" s="19"/>
    </row>
    <row r="42" spans="1:15" ht="25.2" customHeight="1" x14ac:dyDescent="0.25">
      <c r="A42" s="9" t="s">
        <v>46</v>
      </c>
      <c r="B42" s="19"/>
      <c r="C42" s="19"/>
      <c r="D42" s="19"/>
      <c r="G42" s="19"/>
      <c r="J42" s="19"/>
      <c r="M42" s="19"/>
    </row>
    <row r="43" spans="1:15" x14ac:dyDescent="0.25">
      <c r="A43" s="9" t="s">
        <v>47</v>
      </c>
      <c r="B43" s="10"/>
      <c r="C43" s="10"/>
      <c r="D43" s="10"/>
      <c r="E43" s="11">
        <f t="shared" ref="E43:E52" si="15">D43-C43</f>
        <v>0</v>
      </c>
      <c r="G43" s="10"/>
      <c r="H43" s="11">
        <f t="shared" ref="H43:H52" si="16">G43-D43</f>
        <v>0</v>
      </c>
      <c r="J43" s="10"/>
      <c r="K43" s="11">
        <f t="shared" ref="K43:K52" si="17">J43-G43</f>
        <v>0</v>
      </c>
      <c r="M43" s="10"/>
      <c r="N43" s="11">
        <f t="shared" ref="N43:N52" si="18">M43-J43</f>
        <v>0</v>
      </c>
    </row>
    <row r="44" spans="1:15" x14ac:dyDescent="0.25">
      <c r="A44" s="9" t="s">
        <v>48</v>
      </c>
      <c r="B44" s="10"/>
      <c r="C44" s="10"/>
      <c r="D44" s="10"/>
      <c r="E44" s="11">
        <f t="shared" si="15"/>
        <v>0</v>
      </c>
      <c r="G44" s="10"/>
      <c r="H44" s="11">
        <f t="shared" si="16"/>
        <v>0</v>
      </c>
      <c r="J44" s="10"/>
      <c r="K44" s="11">
        <f t="shared" si="17"/>
        <v>0</v>
      </c>
      <c r="M44" s="10"/>
      <c r="N44" s="11">
        <f t="shared" si="18"/>
        <v>0</v>
      </c>
    </row>
    <row r="45" spans="1:15" x14ac:dyDescent="0.25">
      <c r="A45" s="9" t="s">
        <v>49</v>
      </c>
      <c r="B45" s="10"/>
      <c r="C45" s="10"/>
      <c r="D45" s="10"/>
      <c r="E45" s="11">
        <f t="shared" si="15"/>
        <v>0</v>
      </c>
      <c r="G45" s="10"/>
      <c r="H45" s="11">
        <f t="shared" si="16"/>
        <v>0</v>
      </c>
      <c r="J45" s="10"/>
      <c r="K45" s="11">
        <f t="shared" si="17"/>
        <v>0</v>
      </c>
      <c r="M45" s="10"/>
      <c r="N45" s="11">
        <f t="shared" si="18"/>
        <v>0</v>
      </c>
    </row>
    <row r="46" spans="1:15" x14ac:dyDescent="0.25">
      <c r="A46" s="9" t="s">
        <v>50</v>
      </c>
      <c r="B46" s="10"/>
      <c r="C46" s="10"/>
      <c r="D46" s="10"/>
      <c r="E46" s="11">
        <f t="shared" si="15"/>
        <v>0</v>
      </c>
      <c r="G46" s="10"/>
      <c r="H46" s="11">
        <f t="shared" si="16"/>
        <v>0</v>
      </c>
      <c r="J46" s="10"/>
      <c r="K46" s="11">
        <f t="shared" si="17"/>
        <v>0</v>
      </c>
      <c r="M46" s="10"/>
      <c r="N46" s="11">
        <f t="shared" si="18"/>
        <v>0</v>
      </c>
    </row>
    <row r="47" spans="1:15" x14ac:dyDescent="0.25">
      <c r="A47" s="9" t="s">
        <v>51</v>
      </c>
      <c r="B47" s="10"/>
      <c r="C47" s="10"/>
      <c r="D47" s="10"/>
      <c r="E47" s="11">
        <f t="shared" si="15"/>
        <v>0</v>
      </c>
      <c r="G47" s="10"/>
      <c r="H47" s="11">
        <f t="shared" si="16"/>
        <v>0</v>
      </c>
      <c r="J47" s="10"/>
      <c r="K47" s="11">
        <f t="shared" si="17"/>
        <v>0</v>
      </c>
      <c r="M47" s="10"/>
      <c r="N47" s="11">
        <f t="shared" si="18"/>
        <v>0</v>
      </c>
    </row>
    <row r="48" spans="1:15" x14ac:dyDescent="0.25">
      <c r="A48" s="9" t="s">
        <v>52</v>
      </c>
      <c r="B48" s="10"/>
      <c r="C48" s="10"/>
      <c r="D48" s="10"/>
      <c r="E48" s="11">
        <f t="shared" si="15"/>
        <v>0</v>
      </c>
      <c r="G48" s="10"/>
      <c r="H48" s="11">
        <f t="shared" si="16"/>
        <v>0</v>
      </c>
      <c r="J48" s="10"/>
      <c r="K48" s="11">
        <f t="shared" si="17"/>
        <v>0</v>
      </c>
      <c r="M48" s="10"/>
      <c r="N48" s="11">
        <f t="shared" si="18"/>
        <v>0</v>
      </c>
    </row>
    <row r="49" spans="1:15" x14ac:dyDescent="0.25">
      <c r="A49" s="9" t="s">
        <v>53</v>
      </c>
      <c r="B49" s="10"/>
      <c r="C49" s="10"/>
      <c r="D49" s="10"/>
      <c r="E49" s="11">
        <f t="shared" si="15"/>
        <v>0</v>
      </c>
      <c r="G49" s="10"/>
      <c r="H49" s="11">
        <f t="shared" si="16"/>
        <v>0</v>
      </c>
      <c r="J49" s="10"/>
      <c r="K49" s="11">
        <f t="shared" si="17"/>
        <v>0</v>
      </c>
      <c r="M49" s="10"/>
      <c r="N49" s="11">
        <f t="shared" si="18"/>
        <v>0</v>
      </c>
    </row>
    <row r="50" spans="1:15" x14ac:dyDescent="0.25">
      <c r="A50" s="24" t="s">
        <v>54</v>
      </c>
      <c r="B50" s="10"/>
      <c r="C50" s="10"/>
      <c r="D50" s="10"/>
      <c r="E50" s="11">
        <f t="shared" si="15"/>
        <v>0</v>
      </c>
      <c r="G50" s="10"/>
      <c r="H50" s="11">
        <f t="shared" si="16"/>
        <v>0</v>
      </c>
      <c r="J50" s="10"/>
      <c r="K50" s="11">
        <f t="shared" si="17"/>
        <v>0</v>
      </c>
      <c r="M50" s="10"/>
      <c r="N50" s="11">
        <f t="shared" si="18"/>
        <v>0</v>
      </c>
    </row>
    <row r="51" spans="1:15" x14ac:dyDescent="0.25">
      <c r="A51" s="24" t="s">
        <v>55</v>
      </c>
      <c r="B51" s="10"/>
      <c r="C51" s="10"/>
      <c r="D51" s="10"/>
      <c r="E51" s="11">
        <f t="shared" si="15"/>
        <v>0</v>
      </c>
      <c r="G51" s="10"/>
      <c r="H51" s="11">
        <f t="shared" si="16"/>
        <v>0</v>
      </c>
      <c r="J51" s="10"/>
      <c r="K51" s="11">
        <f t="shared" si="17"/>
        <v>0</v>
      </c>
      <c r="M51" s="10"/>
      <c r="N51" s="11">
        <f t="shared" si="18"/>
        <v>0</v>
      </c>
    </row>
    <row r="52" spans="1:15" x14ac:dyDescent="0.25">
      <c r="A52" s="9" t="s">
        <v>56</v>
      </c>
      <c r="B52" s="10"/>
      <c r="C52" s="10"/>
      <c r="D52" s="10"/>
      <c r="E52" s="11">
        <f t="shared" si="15"/>
        <v>0</v>
      </c>
      <c r="G52" s="10"/>
      <c r="H52" s="11">
        <f t="shared" si="16"/>
        <v>0</v>
      </c>
      <c r="J52" s="10"/>
      <c r="K52" s="11">
        <f t="shared" si="17"/>
        <v>0</v>
      </c>
      <c r="M52" s="10"/>
      <c r="N52" s="11">
        <f t="shared" si="18"/>
        <v>0</v>
      </c>
    </row>
    <row r="53" spans="1:15" s="23" customFormat="1" x14ac:dyDescent="0.25">
      <c r="A53" s="21" t="s">
        <v>57</v>
      </c>
      <c r="B53" s="22">
        <f>SUM(B43:B52)</f>
        <v>0</v>
      </c>
      <c r="C53" s="22">
        <f>SUM(C43:C52)</f>
        <v>0</v>
      </c>
      <c r="D53" s="22">
        <f>SUM(D43:D52)</f>
        <v>0</v>
      </c>
      <c r="E53" s="22">
        <f t="shared" ref="E53:O53" si="19">SUM(E43:E52)</f>
        <v>0</v>
      </c>
      <c r="F53" s="22">
        <f t="shared" si="19"/>
        <v>0</v>
      </c>
      <c r="G53" s="22">
        <f>SUM(G43:G52)</f>
        <v>0</v>
      </c>
      <c r="H53" s="22">
        <f t="shared" si="19"/>
        <v>0</v>
      </c>
      <c r="I53" s="22">
        <f t="shared" si="19"/>
        <v>0</v>
      </c>
      <c r="J53" s="22">
        <f>SUM(J43:J52)</f>
        <v>0</v>
      </c>
      <c r="K53" s="22">
        <f t="shared" si="19"/>
        <v>0</v>
      </c>
      <c r="L53" s="22">
        <f t="shared" si="19"/>
        <v>0</v>
      </c>
      <c r="M53" s="22">
        <f>SUM(M43:M52)</f>
        <v>0</v>
      </c>
      <c r="N53" s="22">
        <f t="shared" si="19"/>
        <v>0</v>
      </c>
      <c r="O53" s="22">
        <f t="shared" si="19"/>
        <v>0</v>
      </c>
    </row>
    <row r="54" spans="1:15" x14ac:dyDescent="0.25">
      <c r="A54" s="9"/>
      <c r="B54" s="19"/>
      <c r="C54" s="19"/>
      <c r="D54" s="19"/>
      <c r="G54" s="19"/>
      <c r="J54" s="19"/>
      <c r="M54" s="19"/>
    </row>
    <row r="55" spans="1:15" ht="25.2" customHeight="1" x14ac:dyDescent="0.25">
      <c r="A55" s="9" t="s">
        <v>58</v>
      </c>
      <c r="B55" s="19"/>
      <c r="C55" s="19"/>
      <c r="D55" s="19"/>
      <c r="G55" s="19"/>
      <c r="J55" s="19"/>
      <c r="M55" s="19"/>
    </row>
    <row r="56" spans="1:15" x14ac:dyDescent="0.25">
      <c r="A56" s="9" t="s">
        <v>59</v>
      </c>
      <c r="B56" s="10"/>
      <c r="C56" s="10"/>
      <c r="D56" s="10"/>
      <c r="E56" s="11">
        <f>D56-C56</f>
        <v>0</v>
      </c>
      <c r="G56" s="10"/>
      <c r="H56" s="11">
        <f>G56-D56</f>
        <v>0</v>
      </c>
      <c r="J56" s="10"/>
      <c r="K56" s="11">
        <f>J56-G56</f>
        <v>0</v>
      </c>
      <c r="M56" s="10"/>
      <c r="N56" s="11">
        <f>M56-J56</f>
        <v>0</v>
      </c>
    </row>
    <row r="57" spans="1:15" x14ac:dyDescent="0.25">
      <c r="A57" s="9" t="s">
        <v>60</v>
      </c>
      <c r="B57" s="10"/>
      <c r="C57" s="10"/>
      <c r="D57" s="10"/>
      <c r="E57" s="11">
        <f>D57-C57</f>
        <v>0</v>
      </c>
      <c r="G57" s="10"/>
      <c r="H57" s="11">
        <f>G57-D57</f>
        <v>0</v>
      </c>
      <c r="J57" s="10"/>
      <c r="K57" s="11">
        <f>J57-G57</f>
        <v>0</v>
      </c>
      <c r="M57" s="10"/>
      <c r="N57" s="11">
        <f>M57-J57</f>
        <v>0</v>
      </c>
    </row>
    <row r="58" spans="1:15" x14ac:dyDescent="0.25">
      <c r="A58" s="9" t="s">
        <v>61</v>
      </c>
      <c r="B58" s="10"/>
      <c r="C58" s="10"/>
      <c r="D58" s="10"/>
      <c r="E58" s="11">
        <f>D58-C58</f>
        <v>0</v>
      </c>
      <c r="G58" s="10"/>
      <c r="H58" s="11">
        <f>G58-D58</f>
        <v>0</v>
      </c>
      <c r="J58" s="10"/>
      <c r="K58" s="11">
        <f>J58-G58</f>
        <v>0</v>
      </c>
      <c r="M58" s="10"/>
      <c r="N58" s="11">
        <f>M58-J58</f>
        <v>0</v>
      </c>
    </row>
    <row r="59" spans="1:15" x14ac:dyDescent="0.25">
      <c r="A59" s="9" t="s">
        <v>62</v>
      </c>
      <c r="B59" s="10"/>
      <c r="C59" s="10"/>
      <c r="D59" s="10"/>
      <c r="E59" s="11">
        <f>D59-C59</f>
        <v>0</v>
      </c>
      <c r="G59" s="10"/>
      <c r="H59" s="11">
        <f>G59-D59</f>
        <v>0</v>
      </c>
      <c r="J59" s="10"/>
      <c r="K59" s="11">
        <f>J59-G59</f>
        <v>0</v>
      </c>
      <c r="M59" s="10"/>
      <c r="N59" s="11">
        <f>M59-J59</f>
        <v>0</v>
      </c>
    </row>
    <row r="60" spans="1:15" x14ac:dyDescent="0.25">
      <c r="A60" s="9" t="s">
        <v>63</v>
      </c>
      <c r="B60" s="10"/>
      <c r="C60" s="10"/>
      <c r="D60" s="10"/>
      <c r="E60" s="11">
        <f>D60-C60</f>
        <v>0</v>
      </c>
      <c r="G60" s="10"/>
      <c r="H60" s="11">
        <f>G60-D60</f>
        <v>0</v>
      </c>
      <c r="J60" s="10"/>
      <c r="K60" s="11">
        <f>J60-G60</f>
        <v>0</v>
      </c>
      <c r="M60" s="10"/>
      <c r="N60" s="11">
        <f>M60-J60</f>
        <v>0</v>
      </c>
    </row>
    <row r="61" spans="1:15" s="23" customFormat="1" x14ac:dyDescent="0.25">
      <c r="A61" s="21" t="s">
        <v>64</v>
      </c>
      <c r="B61" s="22">
        <f>SUM(B56:B60)</f>
        <v>0</v>
      </c>
      <c r="C61" s="22">
        <f>SUM(C56:C60)</f>
        <v>0</v>
      </c>
      <c r="D61" s="22">
        <f>SUM(D56:D60)</f>
        <v>0</v>
      </c>
      <c r="E61" s="22">
        <f t="shared" ref="E61:O61" si="20">SUM(E56:E60)</f>
        <v>0</v>
      </c>
      <c r="F61" s="22">
        <f t="shared" si="20"/>
        <v>0</v>
      </c>
      <c r="G61" s="22">
        <f>SUM(G56:G60)</f>
        <v>0</v>
      </c>
      <c r="H61" s="22">
        <f t="shared" si="20"/>
        <v>0</v>
      </c>
      <c r="I61" s="22">
        <f t="shared" si="20"/>
        <v>0</v>
      </c>
      <c r="J61" s="22">
        <f>SUM(J56:J60)</f>
        <v>0</v>
      </c>
      <c r="K61" s="22">
        <f t="shared" si="20"/>
        <v>0</v>
      </c>
      <c r="L61" s="22">
        <f t="shared" si="20"/>
        <v>0</v>
      </c>
      <c r="M61" s="22">
        <f>SUM(M56:M60)</f>
        <v>0</v>
      </c>
      <c r="N61" s="22">
        <f t="shared" si="20"/>
        <v>0</v>
      </c>
      <c r="O61" s="22">
        <f t="shared" si="20"/>
        <v>0</v>
      </c>
    </row>
    <row r="62" spans="1:15" x14ac:dyDescent="0.25">
      <c r="A62" s="9"/>
      <c r="B62" s="19"/>
      <c r="C62" s="19"/>
      <c r="D62" s="19"/>
      <c r="G62" s="19"/>
      <c r="J62" s="19"/>
      <c r="M62" s="19"/>
    </row>
    <row r="63" spans="1:15" x14ac:dyDescent="0.25">
      <c r="A63" s="48" t="s">
        <v>206</v>
      </c>
      <c r="B63" s="19"/>
      <c r="C63" s="19"/>
      <c r="D63" s="19"/>
      <c r="G63" s="19"/>
      <c r="J63" s="19"/>
      <c r="M63" s="19"/>
    </row>
    <row r="64" spans="1:15" x14ac:dyDescent="0.25">
      <c r="A64" s="48" t="s">
        <v>207</v>
      </c>
      <c r="B64" s="19"/>
      <c r="C64" s="19"/>
      <c r="D64" s="19"/>
      <c r="G64" s="19"/>
      <c r="J64" s="19"/>
      <c r="M64" s="19"/>
    </row>
    <row r="65" spans="1:15" ht="25.2" customHeight="1" x14ac:dyDescent="0.25">
      <c r="A65" s="24" t="s">
        <v>65</v>
      </c>
      <c r="B65" s="17"/>
      <c r="C65" s="17"/>
      <c r="D65" s="17"/>
      <c r="E65" s="25">
        <f>D65-C65</f>
        <v>0</v>
      </c>
      <c r="F65" s="13"/>
      <c r="G65" s="17"/>
      <c r="H65" s="25">
        <f>G65-D65</f>
        <v>0</v>
      </c>
      <c r="I65" s="13"/>
      <c r="J65" s="17"/>
      <c r="K65" s="25">
        <f>J65-G65</f>
        <v>0</v>
      </c>
      <c r="L65" s="13"/>
      <c r="M65" s="17"/>
      <c r="N65" s="25">
        <f>M65-J65</f>
        <v>0</v>
      </c>
      <c r="O65" s="13"/>
    </row>
    <row r="66" spans="1:15" x14ac:dyDescent="0.25">
      <c r="A66" s="24" t="s">
        <v>66</v>
      </c>
      <c r="B66" s="17">
        <f>'Detailed Support - Consol'!I79</f>
        <v>0</v>
      </c>
      <c r="C66" s="17">
        <f>'Detailed Support - Consol'!M79</f>
        <v>0</v>
      </c>
      <c r="D66" s="17">
        <f>'Detailed Support - Consol'!Q79</f>
        <v>0</v>
      </c>
      <c r="E66" s="25">
        <f>D66-C66</f>
        <v>0</v>
      </c>
      <c r="F66" s="13"/>
      <c r="G66" s="17">
        <f>'Detailed Support - Consol'!U79</f>
        <v>0</v>
      </c>
      <c r="H66" s="25">
        <f>G66-D66</f>
        <v>0</v>
      </c>
      <c r="I66" s="13"/>
      <c r="J66" s="17">
        <f>'Detailed Support - Consol'!Y79</f>
        <v>0</v>
      </c>
      <c r="K66" s="25">
        <f>J66-G66</f>
        <v>0</v>
      </c>
      <c r="L66" s="13"/>
      <c r="M66" s="17">
        <f>'Detailed Support - Consol'!AC79</f>
        <v>0</v>
      </c>
      <c r="N66" s="25">
        <f>M66-J66</f>
        <v>0</v>
      </c>
      <c r="O66" s="13"/>
    </row>
    <row r="67" spans="1:15" s="23" customFormat="1" x14ac:dyDescent="0.25">
      <c r="A67" s="21" t="s">
        <v>67</v>
      </c>
      <c r="B67" s="22">
        <f t="shared" ref="B67:O67" si="21">B66+B65+B61+B53+B40+B35</f>
        <v>0</v>
      </c>
      <c r="C67" s="22">
        <f t="shared" si="21"/>
        <v>0</v>
      </c>
      <c r="D67" s="22">
        <f t="shared" si="21"/>
        <v>0</v>
      </c>
      <c r="E67" s="22">
        <f t="shared" si="21"/>
        <v>0</v>
      </c>
      <c r="F67" s="22">
        <f t="shared" si="21"/>
        <v>0</v>
      </c>
      <c r="G67" s="22">
        <f t="shared" si="21"/>
        <v>0</v>
      </c>
      <c r="H67" s="22">
        <f t="shared" si="21"/>
        <v>0</v>
      </c>
      <c r="I67" s="22">
        <f t="shared" si="21"/>
        <v>0</v>
      </c>
      <c r="J67" s="22">
        <f t="shared" si="21"/>
        <v>0</v>
      </c>
      <c r="K67" s="22">
        <f t="shared" si="21"/>
        <v>0</v>
      </c>
      <c r="L67" s="22">
        <f t="shared" si="21"/>
        <v>0</v>
      </c>
      <c r="M67" s="22">
        <f t="shared" si="21"/>
        <v>0</v>
      </c>
      <c r="N67" s="22">
        <f t="shared" si="21"/>
        <v>0</v>
      </c>
      <c r="O67" s="22">
        <f t="shared" si="21"/>
        <v>0</v>
      </c>
    </row>
    <row r="68" spans="1:15" x14ac:dyDescent="0.25">
      <c r="A68" s="9"/>
      <c r="B68" s="19"/>
      <c r="C68" s="19"/>
      <c r="D68" s="19"/>
      <c r="G68" s="19"/>
      <c r="J68" s="19"/>
      <c r="M68" s="19"/>
    </row>
    <row r="69" spans="1:15" ht="33" customHeight="1" x14ac:dyDescent="0.25">
      <c r="A69" s="26" t="s">
        <v>68</v>
      </c>
      <c r="B69" s="18">
        <f t="shared" ref="B69:O69" si="22">B25-B67</f>
        <v>0</v>
      </c>
      <c r="C69" s="18">
        <f t="shared" si="22"/>
        <v>0</v>
      </c>
      <c r="D69" s="18">
        <f t="shared" si="22"/>
        <v>0</v>
      </c>
      <c r="E69" s="18">
        <f t="shared" si="22"/>
        <v>0</v>
      </c>
      <c r="F69" s="18">
        <f t="shared" si="22"/>
        <v>0</v>
      </c>
      <c r="G69" s="18">
        <f t="shared" si="22"/>
        <v>0</v>
      </c>
      <c r="H69" s="18">
        <f t="shared" si="22"/>
        <v>0</v>
      </c>
      <c r="I69" s="18">
        <f t="shared" si="22"/>
        <v>0</v>
      </c>
      <c r="J69" s="18">
        <f t="shared" si="22"/>
        <v>0</v>
      </c>
      <c r="K69" s="18">
        <f t="shared" si="22"/>
        <v>0</v>
      </c>
      <c r="L69" s="18">
        <f t="shared" si="22"/>
        <v>0</v>
      </c>
      <c r="M69" s="18">
        <f t="shared" si="22"/>
        <v>0</v>
      </c>
      <c r="N69" s="18">
        <f t="shared" si="22"/>
        <v>0</v>
      </c>
      <c r="O69" s="18">
        <f t="shared" si="22"/>
        <v>0</v>
      </c>
    </row>
    <row r="70" spans="1:15" ht="25.2" customHeight="1" x14ac:dyDescent="0.25">
      <c r="A70" s="27" t="s">
        <v>69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x14ac:dyDescent="0.25">
      <c r="A71" s="13" t="s">
        <v>70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x14ac:dyDescent="0.25">
      <c r="A72" s="13" t="s">
        <v>71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x14ac:dyDescent="0.25">
      <c r="A73" s="13" t="s">
        <v>72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x14ac:dyDescent="0.25">
      <c r="A74" s="13" t="s">
        <v>73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x14ac:dyDescent="0.25">
      <c r="A75" s="13" t="s">
        <v>73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 x14ac:dyDescent="0.25">
      <c r="A76" s="13" t="s">
        <v>73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 s="23" customFormat="1" ht="25.2" customHeight="1" x14ac:dyDescent="0.25">
      <c r="A77" s="28" t="s">
        <v>74</v>
      </c>
      <c r="B77" s="29">
        <f>SUM(B69:B76)</f>
        <v>0</v>
      </c>
      <c r="C77" s="29">
        <f>SUM(C69:C76)</f>
        <v>0</v>
      </c>
      <c r="D77" s="29">
        <f>SUM(D69:D76)</f>
        <v>0</v>
      </c>
      <c r="E77" s="29">
        <f t="shared" ref="E77:O77" si="23">SUM(E69:E76)</f>
        <v>0</v>
      </c>
      <c r="F77" s="29">
        <f t="shared" si="23"/>
        <v>0</v>
      </c>
      <c r="G77" s="29">
        <f>SUM(G69:G76)</f>
        <v>0</v>
      </c>
      <c r="H77" s="29">
        <f t="shared" si="23"/>
        <v>0</v>
      </c>
      <c r="I77" s="29">
        <f t="shared" si="23"/>
        <v>0</v>
      </c>
      <c r="J77" s="29">
        <f>SUM(J69:J76)</f>
        <v>0</v>
      </c>
      <c r="K77" s="29">
        <f t="shared" si="23"/>
        <v>0</v>
      </c>
      <c r="L77" s="29">
        <f t="shared" si="23"/>
        <v>0</v>
      </c>
      <c r="M77" s="29">
        <f>SUM(M69:M76)</f>
        <v>0</v>
      </c>
      <c r="N77" s="29">
        <f t="shared" si="23"/>
        <v>0</v>
      </c>
      <c r="O77" s="29">
        <f t="shared" si="23"/>
        <v>0</v>
      </c>
    </row>
    <row r="78" spans="1:15" x14ac:dyDescent="0.25">
      <c r="A78" s="13" t="s">
        <v>75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 s="16" customFormat="1" ht="45.75" customHeight="1" thickBot="1" x14ac:dyDescent="0.3">
      <c r="A79" s="30" t="s">
        <v>76</v>
      </c>
      <c r="B79" s="20">
        <f>SUM(B77)</f>
        <v>0</v>
      </c>
      <c r="C79" s="20">
        <f>SUM(C77)</f>
        <v>0</v>
      </c>
      <c r="D79" s="20">
        <f>SUM(D77)</f>
        <v>0</v>
      </c>
      <c r="E79" s="20">
        <f t="shared" ref="E79:O79" si="24">SUM(E77)</f>
        <v>0</v>
      </c>
      <c r="F79" s="20">
        <f t="shared" si="24"/>
        <v>0</v>
      </c>
      <c r="G79" s="20">
        <f>SUM(G77)</f>
        <v>0</v>
      </c>
      <c r="H79" s="20">
        <f t="shared" si="24"/>
        <v>0</v>
      </c>
      <c r="I79" s="20">
        <f t="shared" si="24"/>
        <v>0</v>
      </c>
      <c r="J79" s="20">
        <f>SUM(J77)</f>
        <v>0</v>
      </c>
      <c r="K79" s="20">
        <f t="shared" si="24"/>
        <v>0</v>
      </c>
      <c r="L79" s="20">
        <f t="shared" si="24"/>
        <v>0</v>
      </c>
      <c r="M79" s="20">
        <f>SUM(M77)</f>
        <v>0</v>
      </c>
      <c r="N79" s="20">
        <f t="shared" si="24"/>
        <v>0</v>
      </c>
      <c r="O79" s="20">
        <f t="shared" si="24"/>
        <v>0</v>
      </c>
    </row>
    <row r="80" spans="1:15" ht="14.4" thickTop="1" x14ac:dyDescent="0.25">
      <c r="B80" s="11">
        <f>B79-'Detailed Support - Consol'!I94</f>
        <v>4891995.860899535</v>
      </c>
    </row>
    <row r="81" spans="1:4" x14ac:dyDescent="0.25">
      <c r="A81" s="31" t="s">
        <v>77</v>
      </c>
      <c r="D81" s="11"/>
    </row>
    <row r="82" spans="1:4" x14ac:dyDescent="0.25">
      <c r="A82" s="13" t="s">
        <v>78</v>
      </c>
      <c r="D82" s="11"/>
    </row>
    <row r="83" spans="1:4" x14ac:dyDescent="0.25">
      <c r="A83" s="13" t="s">
        <v>79</v>
      </c>
      <c r="D83" s="11"/>
    </row>
    <row r="84" spans="1:4" x14ac:dyDescent="0.25">
      <c r="A84" s="13" t="s">
        <v>80</v>
      </c>
      <c r="D84" s="25"/>
    </row>
    <row r="85" spans="1:4" x14ac:dyDescent="0.25">
      <c r="C85" s="25"/>
      <c r="D85" s="11"/>
    </row>
    <row r="86" spans="1:4" x14ac:dyDescent="0.25">
      <c r="D86" s="11"/>
    </row>
    <row r="87" spans="1:4" x14ac:dyDescent="0.25">
      <c r="A87" s="31" t="s">
        <v>81</v>
      </c>
      <c r="D87" s="11"/>
    </row>
    <row r="88" spans="1:4" x14ac:dyDescent="0.25">
      <c r="D88" s="11"/>
    </row>
    <row r="89" spans="1:4" x14ac:dyDescent="0.25">
      <c r="A89" s="13" t="s">
        <v>82</v>
      </c>
      <c r="C89" s="19"/>
      <c r="D89" s="11"/>
    </row>
    <row r="90" spans="1:4" x14ac:dyDescent="0.25">
      <c r="A90" s="13" t="s">
        <v>83</v>
      </c>
      <c r="C90" s="32"/>
      <c r="D90" s="11"/>
    </row>
    <row r="91" spans="1:4" x14ac:dyDescent="0.25">
      <c r="A91" s="13" t="s">
        <v>43</v>
      </c>
      <c r="D91" s="11"/>
    </row>
    <row r="92" spans="1:4" x14ac:dyDescent="0.25">
      <c r="D92" s="11"/>
    </row>
    <row r="93" spans="1:4" x14ac:dyDescent="0.25">
      <c r="A93" s="13" t="s">
        <v>84</v>
      </c>
      <c r="D93" s="11"/>
    </row>
    <row r="94" spans="1:4" x14ac:dyDescent="0.25">
      <c r="A94" s="13" t="s">
        <v>85</v>
      </c>
      <c r="D94" s="25"/>
    </row>
    <row r="95" spans="1:4" x14ac:dyDescent="0.25">
      <c r="A95" s="9" t="s">
        <v>47</v>
      </c>
      <c r="C95" s="25"/>
      <c r="D95" s="11"/>
    </row>
    <row r="96" spans="1:4" x14ac:dyDescent="0.25">
      <c r="C96" s="25"/>
      <c r="D96" s="11"/>
    </row>
    <row r="97" spans="1:4" x14ac:dyDescent="0.25">
      <c r="A97" s="13" t="s">
        <v>86</v>
      </c>
      <c r="D97" s="11"/>
    </row>
    <row r="98" spans="1:4" x14ac:dyDescent="0.25">
      <c r="A98" s="13" t="s">
        <v>87</v>
      </c>
      <c r="D98" s="11"/>
    </row>
    <row r="99" spans="1:4" x14ac:dyDescent="0.25">
      <c r="A99" s="13" t="s">
        <v>88</v>
      </c>
      <c r="D99" s="25"/>
    </row>
    <row r="100" spans="1:4" x14ac:dyDescent="0.25">
      <c r="A100" s="13" t="s">
        <v>89</v>
      </c>
      <c r="D100" s="11"/>
    </row>
    <row r="101" spans="1:4" x14ac:dyDescent="0.25">
      <c r="A101" s="13" t="s">
        <v>90</v>
      </c>
      <c r="C101" s="25"/>
      <c r="D101" s="11"/>
    </row>
    <row r="102" spans="1:4" x14ac:dyDescent="0.25">
      <c r="D102" s="11"/>
    </row>
    <row r="103" spans="1:4" x14ac:dyDescent="0.25">
      <c r="A103" s="13" t="s">
        <v>56</v>
      </c>
      <c r="D103" s="11"/>
    </row>
    <row r="104" spans="1:4" x14ac:dyDescent="0.25">
      <c r="D104" s="11"/>
    </row>
    <row r="105" spans="1:4" x14ac:dyDescent="0.25">
      <c r="A105" s="13" t="s">
        <v>91</v>
      </c>
      <c r="C105" s="25"/>
      <c r="D105" s="25"/>
    </row>
    <row r="106" spans="1:4" x14ac:dyDescent="0.25">
      <c r="A106" s="13" t="s">
        <v>92</v>
      </c>
      <c r="D106" s="11"/>
    </row>
    <row r="107" spans="1:4" x14ac:dyDescent="0.25">
      <c r="D107" s="11"/>
    </row>
    <row r="108" spans="1:4" x14ac:dyDescent="0.25">
      <c r="A108" s="13" t="s">
        <v>62</v>
      </c>
      <c r="D108" s="11"/>
    </row>
    <row r="109" spans="1:4" x14ac:dyDescent="0.25">
      <c r="D109" s="11"/>
    </row>
    <row r="110" spans="1:4" x14ac:dyDescent="0.25">
      <c r="A110" s="13" t="s">
        <v>93</v>
      </c>
      <c r="D110" s="11"/>
    </row>
    <row r="111" spans="1:4" x14ac:dyDescent="0.25">
      <c r="A111" s="13" t="s">
        <v>94</v>
      </c>
      <c r="D111" s="25"/>
    </row>
    <row r="113" spans="1:4" x14ac:dyDescent="0.25">
      <c r="A113" s="13" t="s">
        <v>52</v>
      </c>
      <c r="C113" s="25"/>
    </row>
    <row r="115" spans="1:4" x14ac:dyDescent="0.25">
      <c r="A115" s="33" t="s">
        <v>77</v>
      </c>
    </row>
    <row r="116" spans="1:4" x14ac:dyDescent="0.25">
      <c r="A116" s="34" t="s">
        <v>95</v>
      </c>
      <c r="C116" s="8"/>
      <c r="D116" s="11"/>
    </row>
    <row r="117" spans="1:4" x14ac:dyDescent="0.25">
      <c r="A117" s="34" t="s">
        <v>96</v>
      </c>
      <c r="C117" s="8"/>
      <c r="D117" s="11"/>
    </row>
    <row r="118" spans="1:4" x14ac:dyDescent="0.25">
      <c r="A118" s="35" t="s">
        <v>27</v>
      </c>
      <c r="C118" s="8"/>
      <c r="D118" s="25"/>
    </row>
    <row r="119" spans="1:4" x14ac:dyDescent="0.25">
      <c r="A119" s="34"/>
      <c r="C119" s="8"/>
      <c r="D119" s="11"/>
    </row>
    <row r="120" spans="1:4" x14ac:dyDescent="0.25">
      <c r="A120" s="33" t="s">
        <v>97</v>
      </c>
      <c r="C120" s="8"/>
      <c r="D120" s="11"/>
    </row>
    <row r="121" spans="1:4" x14ac:dyDescent="0.25">
      <c r="A121" s="34" t="s">
        <v>98</v>
      </c>
      <c r="C121" s="8"/>
      <c r="D121" s="11"/>
    </row>
    <row r="122" spans="1:4" x14ac:dyDescent="0.25">
      <c r="A122" s="34" t="s">
        <v>88</v>
      </c>
      <c r="C122" s="8"/>
      <c r="D122" s="11"/>
    </row>
    <row r="123" spans="1:4" x14ac:dyDescent="0.25">
      <c r="A123" s="34" t="s">
        <v>86</v>
      </c>
      <c r="C123" s="8"/>
      <c r="D123" s="11"/>
    </row>
    <row r="124" spans="1:4" x14ac:dyDescent="0.25">
      <c r="A124" s="34" t="s">
        <v>99</v>
      </c>
      <c r="D124" s="11"/>
    </row>
    <row r="125" spans="1:4" x14ac:dyDescent="0.25">
      <c r="A125" s="34" t="s">
        <v>100</v>
      </c>
      <c r="D125" s="11"/>
    </row>
    <row r="126" spans="1:4" x14ac:dyDescent="0.25">
      <c r="A126" s="34" t="s">
        <v>101</v>
      </c>
      <c r="D126" s="11"/>
    </row>
    <row r="127" spans="1:4" x14ac:dyDescent="0.25">
      <c r="A127" s="34"/>
      <c r="D127" s="11"/>
    </row>
    <row r="128" spans="1:4" x14ac:dyDescent="0.25">
      <c r="A128" s="36" t="s">
        <v>102</v>
      </c>
      <c r="D128" s="25"/>
    </row>
    <row r="129" spans="1:4" x14ac:dyDescent="0.25">
      <c r="A129" s="34"/>
      <c r="D129" s="11"/>
    </row>
    <row r="130" spans="1:4" x14ac:dyDescent="0.25">
      <c r="A130" s="34" t="s">
        <v>103</v>
      </c>
      <c r="D130" s="11"/>
    </row>
    <row r="131" spans="1:4" x14ac:dyDescent="0.25">
      <c r="A131" s="34" t="s">
        <v>85</v>
      </c>
      <c r="D131" s="11"/>
    </row>
    <row r="132" spans="1:4" x14ac:dyDescent="0.25">
      <c r="A132" s="34"/>
      <c r="D132" s="11"/>
    </row>
    <row r="133" spans="1:4" x14ac:dyDescent="0.25">
      <c r="A133" s="26" t="s">
        <v>47</v>
      </c>
      <c r="D133" s="25"/>
    </row>
    <row r="134" spans="1:4" x14ac:dyDescent="0.25">
      <c r="A134" s="34"/>
      <c r="D134" s="11"/>
    </row>
    <row r="135" spans="1:4" x14ac:dyDescent="0.25">
      <c r="A135" s="34" t="s">
        <v>104</v>
      </c>
      <c r="D135" s="11"/>
    </row>
    <row r="136" spans="1:4" x14ac:dyDescent="0.25">
      <c r="A136" s="34" t="s">
        <v>105</v>
      </c>
      <c r="D136" s="11"/>
    </row>
    <row r="137" spans="1:4" x14ac:dyDescent="0.25">
      <c r="A137" s="34" t="s">
        <v>106</v>
      </c>
      <c r="D137" s="11"/>
    </row>
    <row r="138" spans="1:4" x14ac:dyDescent="0.25">
      <c r="A138" s="34"/>
      <c r="D138" s="11"/>
    </row>
    <row r="139" spans="1:4" x14ac:dyDescent="0.25">
      <c r="A139" s="26" t="s">
        <v>49</v>
      </c>
      <c r="D139" s="25"/>
    </row>
    <row r="140" spans="1:4" x14ac:dyDescent="0.25">
      <c r="A140" s="34"/>
      <c r="D140" s="11"/>
    </row>
    <row r="141" spans="1:4" x14ac:dyDescent="0.25">
      <c r="A141" s="34" t="s">
        <v>107</v>
      </c>
      <c r="D141" s="11"/>
    </row>
    <row r="142" spans="1:4" x14ac:dyDescent="0.25">
      <c r="A142" s="34" t="s">
        <v>108</v>
      </c>
      <c r="D142" s="11"/>
    </row>
    <row r="143" spans="1:4" x14ac:dyDescent="0.25">
      <c r="A143" s="34" t="s">
        <v>94</v>
      </c>
      <c r="D143" s="11"/>
    </row>
    <row r="144" spans="1:4" x14ac:dyDescent="0.25">
      <c r="A144" s="34"/>
      <c r="D144" s="11"/>
    </row>
    <row r="145" spans="1:4" x14ac:dyDescent="0.25">
      <c r="A145" s="26" t="s">
        <v>52</v>
      </c>
      <c r="D145" s="25"/>
    </row>
  </sheetData>
  <pageMargins left="0.7" right="0.7" top="0.93452380952380953" bottom="0.75" header="0.3" footer="0.3"/>
  <pageSetup scale="62" orientation="portrait" horizontalDpi="4294967295" verticalDpi="4294967295" r:id="rId1"/>
  <headerFooter>
    <oddFooter>&amp;CCentre for Organizational Effectiveness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50"/>
  <sheetViews>
    <sheetView workbookViewId="0">
      <pane xSplit="1" ySplit="1" topLeftCell="B55" activePane="bottomRight" state="frozen"/>
      <selection pane="topRight" activeCell="B1" sqref="B1"/>
      <selection pane="bottomLeft" activeCell="A2" sqref="A2"/>
      <selection pane="bottomRight" activeCell="B71" sqref="B71"/>
    </sheetView>
  </sheetViews>
  <sheetFormatPr defaultColWidth="8.6640625" defaultRowHeight="13.8" x14ac:dyDescent="0.25"/>
  <cols>
    <col min="1" max="1" width="62" style="13" customWidth="1"/>
    <col min="2" max="2" width="14.33203125" style="11" bestFit="1" customWidth="1"/>
    <col min="3" max="3" width="14" style="8" customWidth="1"/>
    <col min="4" max="4" width="14.33203125" style="8" customWidth="1"/>
    <col min="5" max="5" width="13.44140625" style="8" customWidth="1"/>
    <col min="6" max="6" width="14.33203125" style="8" bestFit="1" customWidth="1"/>
    <col min="7" max="7" width="12.6640625" style="8" customWidth="1"/>
    <col min="8" max="8" width="13.33203125" style="8" customWidth="1"/>
    <col min="9" max="9" width="14.33203125" style="8" bestFit="1" customWidth="1"/>
    <col min="10" max="10" width="12.33203125" style="8" customWidth="1"/>
    <col min="11" max="11" width="13.33203125" style="8" customWidth="1"/>
    <col min="12" max="12" width="14.33203125" style="8" bestFit="1" customWidth="1"/>
    <col min="13" max="14" width="11.33203125" style="8" customWidth="1"/>
    <col min="15" max="15" width="13.33203125" style="8" bestFit="1" customWidth="1"/>
    <col min="16" max="16384" width="8.6640625" style="8"/>
  </cols>
  <sheetData>
    <row r="1" spans="1:14" s="5" customFormat="1" ht="42" x14ac:dyDescent="0.3">
      <c r="A1" s="1" t="s">
        <v>0</v>
      </c>
      <c r="B1" s="3" t="s">
        <v>2</v>
      </c>
      <c r="C1" s="3" t="s">
        <v>3</v>
      </c>
      <c r="D1" s="4" t="s">
        <v>4</v>
      </c>
      <c r="E1" s="4" t="s">
        <v>5</v>
      </c>
      <c r="F1" s="3" t="s">
        <v>6</v>
      </c>
      <c r="G1" s="4" t="s">
        <v>7</v>
      </c>
      <c r="H1" s="4" t="s">
        <v>8</v>
      </c>
      <c r="I1" s="3" t="s">
        <v>9</v>
      </c>
      <c r="J1" s="4" t="s">
        <v>10</v>
      </c>
      <c r="K1" s="4" t="s">
        <v>11</v>
      </c>
      <c r="L1" s="3" t="s">
        <v>12</v>
      </c>
      <c r="M1" s="4" t="s">
        <v>13</v>
      </c>
      <c r="N1" s="4" t="s">
        <v>14</v>
      </c>
    </row>
    <row r="2" spans="1:14" x14ac:dyDescent="0.25">
      <c r="A2" s="6" t="s">
        <v>15</v>
      </c>
      <c r="B2" s="7"/>
    </row>
    <row r="3" spans="1:14" x14ac:dyDescent="0.25">
      <c r="A3" s="9"/>
      <c r="B3" s="10"/>
    </row>
    <row r="4" spans="1:14" x14ac:dyDescent="0.25">
      <c r="A4" s="9" t="s">
        <v>16</v>
      </c>
      <c r="C4" s="10"/>
      <c r="F4" s="10"/>
      <c r="I4" s="10"/>
      <c r="L4" s="10"/>
    </row>
    <row r="5" spans="1:14" x14ac:dyDescent="0.25">
      <c r="A5" s="12" t="s">
        <v>17</v>
      </c>
      <c r="B5" s="10" t="e">
        <f>#REF!+'Base Financials - Oxford'!C5+'Base Financials - Middlesex'!C5+'Base Financials - ADSTV (2)'!C5+'Base Financials - Consol'!C5</f>
        <v>#REF!</v>
      </c>
      <c r="C5" s="10" t="e">
        <f>#REF!+'Base Financials - Oxford'!D5+'Base Financials - Middlesex'!D5+'Base Financials - ADSTV (2)'!D5+'Base Financials - Consol'!D5</f>
        <v>#REF!</v>
      </c>
      <c r="D5" s="11" t="e">
        <f>C5-B5</f>
        <v>#REF!</v>
      </c>
      <c r="F5" s="10" t="e">
        <f>#REF!+'Base Financials - Oxford'!G5+'Base Financials - Middlesex'!G5+'Base Financials - ADSTV (2)'!G5+'Base Financials - Consol'!G5</f>
        <v>#REF!</v>
      </c>
      <c r="G5" s="11" t="e">
        <f>F5-C5</f>
        <v>#REF!</v>
      </c>
      <c r="I5" s="10" t="e">
        <f>#REF!+'Base Financials - Oxford'!J5+'Base Financials - Middlesex'!J5+'Base Financials - ADSTV (2)'!J5+'Base Financials - Consol'!J5</f>
        <v>#REF!</v>
      </c>
      <c r="J5" s="11" t="e">
        <f>I5-F5</f>
        <v>#REF!</v>
      </c>
      <c r="L5" s="10" t="e">
        <f>#REF!+'Base Financials - Oxford'!M5+'Base Financials - Middlesex'!M5+'Base Financials - ADSTV (2)'!M5+'Base Financials - Consol'!M5</f>
        <v>#REF!</v>
      </c>
      <c r="M5" s="52" t="e">
        <f>L5-I5</f>
        <v>#REF!</v>
      </c>
    </row>
    <row r="6" spans="1:14" x14ac:dyDescent="0.25">
      <c r="A6" s="12" t="s">
        <v>204</v>
      </c>
      <c r="B6" s="10" t="e">
        <f>#REF!+'Base Financials - Oxford'!C6+'Base Financials - Middlesex'!C6+'Base Financials - ADSTV (2)'!C6+'Base Financials - Consol'!C6</f>
        <v>#REF!</v>
      </c>
      <c r="C6" s="10" t="e">
        <f>#REF!+'Base Financials - Oxford'!D6+'Base Financials - Middlesex'!D6+'Base Financials - ADSTV (2)'!D6+'Base Financials - Consol'!D6</f>
        <v>#REF!</v>
      </c>
      <c r="D6" s="11"/>
      <c r="F6" s="10" t="e">
        <f>#REF!+'Base Financials - Oxford'!G6+'Base Financials - Middlesex'!G6+'Base Financials - ADSTV (2)'!G6+'Base Financials - Consol'!G6</f>
        <v>#REF!</v>
      </c>
      <c r="G6" s="11"/>
      <c r="I6" s="10" t="e">
        <f>#REF!+'Base Financials - Oxford'!J6+'Base Financials - Middlesex'!J6+'Base Financials - ADSTV (2)'!J6+'Base Financials - Consol'!J6</f>
        <v>#REF!</v>
      </c>
      <c r="J6" s="11"/>
      <c r="L6" s="10" t="e">
        <f>#REF!+'Base Financials - Oxford'!M6+'Base Financials - Middlesex'!M6+'Base Financials - ADSTV (2)'!M6+'Base Financials - Consol'!M6</f>
        <v>#REF!</v>
      </c>
      <c r="M6" s="52"/>
    </row>
    <row r="7" spans="1:14" x14ac:dyDescent="0.25">
      <c r="A7" s="12" t="s">
        <v>205</v>
      </c>
      <c r="B7" s="10" t="e">
        <f>#REF!+'Base Financials - Oxford'!C7+'Base Financials - Middlesex'!C7+'Base Financials - ADSTV (2)'!C7+'Base Financials - Consol'!C7</f>
        <v>#REF!</v>
      </c>
      <c r="C7" s="10" t="e">
        <f>#REF!+'Base Financials - Oxford'!D7+'Base Financials - Middlesex'!D7+'Base Financials - ADSTV (2)'!D7+'Base Financials - Consol'!D7</f>
        <v>#REF!</v>
      </c>
      <c r="D7" s="11"/>
      <c r="F7" s="10" t="e">
        <f>#REF!+'Base Financials - Oxford'!G7+'Base Financials - Middlesex'!G7+'Base Financials - ADSTV (2)'!G7+'Base Financials - Consol'!G7</f>
        <v>#REF!</v>
      </c>
      <c r="G7" s="11"/>
      <c r="I7" s="10" t="e">
        <f>#REF!+'Base Financials - Oxford'!J7+'Base Financials - Middlesex'!J7+'Base Financials - ADSTV (2)'!J7+'Base Financials - Consol'!J7</f>
        <v>#REF!</v>
      </c>
      <c r="J7" s="11"/>
      <c r="L7" s="10" t="e">
        <f>#REF!+'Base Financials - Oxford'!M7+'Base Financials - Middlesex'!M7+'Base Financials - ADSTV (2)'!M7+'Base Financials - Consol'!M7</f>
        <v>#REF!</v>
      </c>
      <c r="M7" s="52"/>
    </row>
    <row r="8" spans="1:14" x14ac:dyDescent="0.25">
      <c r="A8" s="12" t="s">
        <v>18</v>
      </c>
      <c r="B8" s="10" t="e">
        <f>#REF!+'Base Financials - Oxford'!C8+'Base Financials - Middlesex'!C8+'Base Financials - ADSTV (2)'!C8+'Base Financials - Consol'!C8</f>
        <v>#REF!</v>
      </c>
      <c r="C8" s="10" t="e">
        <f>#REF!+'Base Financials - Oxford'!D8+'Base Financials - Middlesex'!D8+'Base Financials - ADSTV (2)'!D8+'Base Financials - Consol'!D8</f>
        <v>#REF!</v>
      </c>
      <c r="F8" s="10" t="e">
        <f>#REF!+'Base Financials - Oxford'!G8+'Base Financials - Middlesex'!G8+'Base Financials - ADSTV (2)'!G8+'Base Financials - Consol'!G8</f>
        <v>#REF!</v>
      </c>
      <c r="I8" s="10" t="e">
        <f>#REF!+'Base Financials - Oxford'!J8+'Base Financials - Middlesex'!J8+'Base Financials - ADSTV (2)'!J8+'Base Financials - Consol'!J8</f>
        <v>#REF!</v>
      </c>
      <c r="L8" s="10" t="e">
        <f>#REF!+'Base Financials - Oxford'!M8+'Base Financials - Middlesex'!M8+'Base Financials - ADSTV (2)'!M8+'Base Financials - Consol'!M8</f>
        <v>#REF!</v>
      </c>
    </row>
    <row r="9" spans="1:14" x14ac:dyDescent="0.25">
      <c r="A9" s="12" t="s">
        <v>19</v>
      </c>
      <c r="B9" s="10" t="e">
        <f>#REF!+'Base Financials - Oxford'!C9+'Base Financials - Middlesex'!C9+'Base Financials - ADSTV (2)'!C9+'Base Financials - Consol'!C9</f>
        <v>#REF!</v>
      </c>
      <c r="C9" s="10" t="e">
        <f>#REF!+'Base Financials - Oxford'!D9+'Base Financials - Middlesex'!D9+'Base Financials - ADSTV (2)'!D9+'Base Financials - Consol'!D9</f>
        <v>#REF!</v>
      </c>
      <c r="F9" s="10" t="e">
        <f>#REF!+'Base Financials - Oxford'!G9+'Base Financials - Middlesex'!G9+'Base Financials - ADSTV (2)'!G9+'Base Financials - Consol'!G9</f>
        <v>#REF!</v>
      </c>
      <c r="I9" s="10" t="e">
        <f>#REF!+'Base Financials - Oxford'!J9+'Base Financials - Middlesex'!J9+'Base Financials - ADSTV (2)'!J9+'Base Financials - Consol'!J9</f>
        <v>#REF!</v>
      </c>
      <c r="L9" s="10" t="e">
        <f>#REF!+'Base Financials - Oxford'!M9+'Base Financials - Middlesex'!M9+'Base Financials - ADSTV (2)'!M9+'Base Financials - Consol'!M9</f>
        <v>#REF!</v>
      </c>
    </row>
    <row r="10" spans="1:14" x14ac:dyDescent="0.25">
      <c r="A10" s="8" t="s">
        <v>20</v>
      </c>
      <c r="B10" s="10" t="e">
        <f>#REF!+'Base Financials - Oxford'!C10+'Base Financials - Middlesex'!C10+'Base Financials - ADSTV (2)'!C10+'Base Financials - Consol'!C10</f>
        <v>#REF!</v>
      </c>
      <c r="C10" s="10" t="e">
        <f>#REF!+'Base Financials - Oxford'!D10+'Base Financials - Middlesex'!D10+'Base Financials - ADSTV (2)'!D10+'Base Financials - Consol'!D10</f>
        <v>#REF!</v>
      </c>
      <c r="D10" s="11" t="e">
        <f>C10-B10</f>
        <v>#REF!</v>
      </c>
      <c r="F10" s="10" t="e">
        <f>#REF!+'Base Financials - Oxford'!G10+'Base Financials - Middlesex'!G10+'Base Financials - ADSTV (2)'!G10+'Base Financials - Consol'!G10</f>
        <v>#REF!</v>
      </c>
      <c r="G10" s="11" t="e">
        <f>F10-C10</f>
        <v>#REF!</v>
      </c>
      <c r="I10" s="10" t="e">
        <f>#REF!+'Base Financials - Oxford'!J10+'Base Financials - Middlesex'!J10+'Base Financials - ADSTV (2)'!J10+'Base Financials - Consol'!J10</f>
        <v>#REF!</v>
      </c>
      <c r="J10" s="11" t="e">
        <f>I10-F10</f>
        <v>#REF!</v>
      </c>
      <c r="L10" s="10" t="e">
        <f>#REF!+'Base Financials - Oxford'!M10+'Base Financials - Middlesex'!M10+'Base Financials - ADSTV (2)'!M10+'Base Financials - Consol'!M10</f>
        <v>#REF!</v>
      </c>
      <c r="M10" s="52" t="e">
        <f>L10-I10</f>
        <v>#REF!</v>
      </c>
    </row>
    <row r="11" spans="1:14" x14ac:dyDescent="0.25">
      <c r="A11" s="8" t="s">
        <v>21</v>
      </c>
      <c r="B11" s="10" t="e">
        <f>#REF!+'Base Financials - Oxford'!C11+'Base Financials - Middlesex'!C11+'Base Financials - ADSTV (2)'!C11+'Base Financials - Consol'!C11</f>
        <v>#REF!</v>
      </c>
      <c r="C11" s="10" t="e">
        <f>#REF!+'Base Financials - Oxford'!D11+'Base Financials - Middlesex'!D11+'Base Financials - ADSTV (2)'!D11+'Base Financials - Consol'!D11</f>
        <v>#REF!</v>
      </c>
      <c r="D11" s="11" t="e">
        <f>C11-B11</f>
        <v>#REF!</v>
      </c>
      <c r="F11" s="10" t="e">
        <f>#REF!+'Base Financials - Oxford'!G11+'Base Financials - Middlesex'!G11+'Base Financials - ADSTV (2)'!G11+'Base Financials - Consol'!G11</f>
        <v>#REF!</v>
      </c>
      <c r="G11" s="11" t="e">
        <f>F11-C11</f>
        <v>#REF!</v>
      </c>
      <c r="I11" s="10" t="e">
        <f>#REF!+'Base Financials - Oxford'!J11+'Base Financials - Middlesex'!J11+'Base Financials - ADSTV (2)'!J11+'Base Financials - Consol'!J11</f>
        <v>#REF!</v>
      </c>
      <c r="J11" s="11" t="e">
        <f>I11-F11</f>
        <v>#REF!</v>
      </c>
      <c r="L11" s="10" t="e">
        <f>#REF!+'Base Financials - Oxford'!M11+'Base Financials - Middlesex'!M11+'Base Financials - ADSTV (2)'!M11+'Base Financials - Consol'!M11</f>
        <v>#REF!</v>
      </c>
      <c r="M11" s="52" t="e">
        <f>L11-I11</f>
        <v>#REF!</v>
      </c>
    </row>
    <row r="12" spans="1:14" x14ac:dyDescent="0.25">
      <c r="A12" s="8" t="s">
        <v>22</v>
      </c>
      <c r="B12" s="10" t="e">
        <f>#REF!+'Base Financials - Oxford'!C12+'Base Financials - Middlesex'!C12+'Base Financials - ADSTV (2)'!C12+'Base Financials - Consol'!C12</f>
        <v>#REF!</v>
      </c>
      <c r="C12" s="10" t="e">
        <f>#REF!+'Base Financials - Oxford'!D12+'Base Financials - Middlesex'!D12+'Base Financials - ADSTV (2)'!D12+'Base Financials - Consol'!D12</f>
        <v>#REF!</v>
      </c>
      <c r="F12" s="10" t="e">
        <f>#REF!+'Base Financials - Oxford'!G12+'Base Financials - Middlesex'!G12+'Base Financials - ADSTV (2)'!G12+'Base Financials - Consol'!G12</f>
        <v>#REF!</v>
      </c>
      <c r="I12" s="10" t="e">
        <f>#REF!+'Base Financials - Oxford'!J12+'Base Financials - Middlesex'!J12+'Base Financials - ADSTV (2)'!J12+'Base Financials - Consol'!J12</f>
        <v>#REF!</v>
      </c>
      <c r="L12" s="10" t="e">
        <f>#REF!+'Base Financials - Oxford'!M12+'Base Financials - Middlesex'!M12+'Base Financials - ADSTV (2)'!M12+'Base Financials - Consol'!M12</f>
        <v>#REF!</v>
      </c>
    </row>
    <row r="13" spans="1:14" ht="15" customHeight="1" x14ac:dyDescent="0.25">
      <c r="A13" s="48" t="s">
        <v>23</v>
      </c>
      <c r="B13" s="10" t="e">
        <f>#REF!+'Base Financials - Oxford'!C13+'Base Financials - Middlesex'!C13+'Base Financials - ADSTV (2)'!C13+'Base Financials - Consol'!C13</f>
        <v>#REF!</v>
      </c>
      <c r="C13" s="10" t="e">
        <f>#REF!+'Base Financials - Oxford'!D13+'Base Financials - Middlesex'!D13+'Base Financials - ADSTV (2)'!D13+'Base Financials - Consol'!D13</f>
        <v>#REF!</v>
      </c>
      <c r="F13" s="10" t="e">
        <f>#REF!+'Base Financials - Oxford'!G13+'Base Financials - Middlesex'!G13+'Base Financials - ADSTV (2)'!G13+'Base Financials - Consol'!G13</f>
        <v>#REF!</v>
      </c>
      <c r="I13" s="10" t="e">
        <f>#REF!+'Base Financials - Oxford'!J13+'Base Financials - Middlesex'!J13+'Base Financials - ADSTV (2)'!J13+'Base Financials - Consol'!J13</f>
        <v>#REF!</v>
      </c>
      <c r="L13" s="10" t="e">
        <f>#REF!+'Base Financials - Oxford'!M13+'Base Financials - Middlesex'!M13+'Base Financials - ADSTV (2)'!M13+'Base Financials - Consol'!M13</f>
        <v>#REF!</v>
      </c>
    </row>
    <row r="14" spans="1:14" s="16" customFormat="1" ht="14.4" thickBot="1" x14ac:dyDescent="0.3">
      <c r="A14" s="14" t="s">
        <v>24</v>
      </c>
      <c r="B14" s="15" t="e">
        <f>SUM(B5:B13)</f>
        <v>#REF!</v>
      </c>
      <c r="C14" s="15" t="e">
        <f>SUM(C4:C13)</f>
        <v>#REF!</v>
      </c>
      <c r="D14" s="15" t="e">
        <f>SUM(D4:D13)</f>
        <v>#REF!</v>
      </c>
      <c r="E14" s="15">
        <f>SUM(E4:E13)</f>
        <v>0</v>
      </c>
      <c r="F14" s="15" t="e">
        <f>SUM(F4:F13)</f>
        <v>#REF!</v>
      </c>
      <c r="I14" s="15" t="e">
        <f>SUM(I4:I13)</f>
        <v>#REF!</v>
      </c>
      <c r="J14" s="15" t="e">
        <f>SUM(J4:J13)</f>
        <v>#REF!</v>
      </c>
      <c r="K14" s="15">
        <f>SUM(K4:K13)</f>
        <v>0</v>
      </c>
      <c r="L14" s="15" t="e">
        <f>SUM(L4:L13)</f>
        <v>#REF!</v>
      </c>
      <c r="M14" s="15" t="e">
        <f>SUM(M4:M13)</f>
        <v>#REF!</v>
      </c>
    </row>
    <row r="15" spans="1:14" ht="14.4" thickTop="1" x14ac:dyDescent="0.25">
      <c r="A15" s="9"/>
      <c r="B15" s="169" t="e">
        <f>#REF!+'Base Financials - Oxford'!C14+'Base Financials - Middlesex'!C14+'Base Financials - ADSTV (2)'!C14+'Base Financials - Consol'!C14-B14</f>
        <v>#REF!</v>
      </c>
      <c r="C15" s="169" t="e">
        <f>#REF!+'Base Financials - Oxford'!D14+'Base Financials - Middlesex'!D14+'Base Financials - ADSTV (2)'!D14+'Base Financials - Consol'!D14-C14</f>
        <v>#REF!</v>
      </c>
      <c r="D15" s="180"/>
      <c r="E15" s="180"/>
      <c r="F15" s="169" t="e">
        <f>#REF!+'Base Financials - Oxford'!G14+'Base Financials - Middlesex'!G14+'Base Financials - ADSTV (2)'!G14+'Base Financials - Consol'!G14-F14</f>
        <v>#REF!</v>
      </c>
      <c r="G15" s="180"/>
      <c r="H15" s="180"/>
      <c r="I15" s="169" t="e">
        <f>#REF!+'Base Financials - Oxford'!J14+'Base Financials - Middlesex'!J14+'Base Financials - ADSTV (2)'!J14+'Base Financials - Consol'!J14-I14</f>
        <v>#REF!</v>
      </c>
      <c r="J15" s="180"/>
      <c r="K15" s="180"/>
      <c r="L15" s="169" t="e">
        <f>#REF!+'Base Financials - Oxford'!M14+'Base Financials - Middlesex'!M14+'Base Financials - ADSTV (2)'!M14+'Base Financials - Consol'!M14-L14</f>
        <v>#REF!</v>
      </c>
      <c r="M15" s="180"/>
      <c r="N15" s="180"/>
    </row>
    <row r="16" spans="1:14" x14ac:dyDescent="0.25">
      <c r="A16" s="9"/>
      <c r="B16" s="17"/>
      <c r="C16" s="17"/>
      <c r="F16" s="17"/>
      <c r="I16" s="17"/>
      <c r="L16" s="17"/>
    </row>
    <row r="17" spans="1:14" ht="14.7" customHeight="1" x14ac:dyDescent="0.25">
      <c r="A17" s="9" t="s">
        <v>25</v>
      </c>
      <c r="B17" s="10" t="e">
        <f>#REF!+'Base Financials - Oxford'!C16+'Base Financials - Middlesex'!C16+'Base Financials - ADSTV (2)'!C16+'Base Financials - Consol'!C16</f>
        <v>#REF!</v>
      </c>
      <c r="C17" s="10" t="e">
        <f>#REF!+'Base Financials - Oxford'!D16+'Base Financials - Middlesex'!D16+'Base Financials - ADSTV (2)'!D16+'Base Financials - Consol'!D16</f>
        <v>#REF!</v>
      </c>
      <c r="D17" s="11"/>
      <c r="F17" s="10" t="e">
        <f>#REF!+'Base Financials - Oxford'!G16+'Base Financials - Middlesex'!G16+'Base Financials - ADSTV (2)'!G16+'Base Financials - Consol'!G16</f>
        <v>#REF!</v>
      </c>
      <c r="G17" s="11"/>
      <c r="H17" s="83"/>
      <c r="I17" s="10" t="e">
        <f>#REF!+'Base Financials - Oxford'!J16+'Base Financials - Middlesex'!J16+'Base Financials - ADSTV (2)'!J16+'Base Financials - Consol'!J16</f>
        <v>#REF!</v>
      </c>
      <c r="J17" s="11"/>
      <c r="K17" s="83"/>
      <c r="L17" s="10" t="e">
        <f>#REF!+'Base Financials - Oxford'!M16+'Base Financials - Middlesex'!M16+'Base Financials - ADSTV (2)'!M16+'Base Financials - Consol'!M16</f>
        <v>#REF!</v>
      </c>
      <c r="M17" s="52"/>
    </row>
    <row r="18" spans="1:14" x14ac:dyDescent="0.25">
      <c r="A18" s="48" t="s">
        <v>26</v>
      </c>
      <c r="B18" s="10" t="e">
        <f>#REF!+'Base Financials - Oxford'!C17+'Base Financials - Middlesex'!C17+'Base Financials - ADSTV (2)'!C17+'Base Financials - Consol'!C17</f>
        <v>#REF!</v>
      </c>
      <c r="C18" s="10" t="e">
        <f>#REF!+'Base Financials - Oxford'!D17+'Base Financials - Middlesex'!D17+'Base Financials - ADSTV (2)'!D17+'Base Financials - Consol'!D17</f>
        <v>#REF!</v>
      </c>
      <c r="F18" s="10" t="e">
        <f>#REF!+'Base Financials - Oxford'!G17+'Base Financials - Middlesex'!G17+'Base Financials - ADSTV (2)'!G17+'Base Financials - Consol'!G17</f>
        <v>#REF!</v>
      </c>
      <c r="G18" s="83"/>
      <c r="H18" s="83"/>
      <c r="I18" s="10" t="e">
        <f>#REF!+'Base Financials - Oxford'!J17+'Base Financials - Middlesex'!J17+'Base Financials - ADSTV (2)'!J17+'Base Financials - Consol'!J17</f>
        <v>#REF!</v>
      </c>
      <c r="J18" s="83"/>
      <c r="K18" s="83"/>
      <c r="L18" s="10" t="e">
        <f>#REF!+'Base Financials - Oxford'!M17+'Base Financials - Middlesex'!M17+'Base Financials - ADSTV (2)'!M17+'Base Financials - Consol'!M17</f>
        <v>#REF!</v>
      </c>
      <c r="M18" s="52"/>
    </row>
    <row r="19" spans="1:14" x14ac:dyDescent="0.25">
      <c r="A19" s="48" t="s">
        <v>27</v>
      </c>
      <c r="B19" s="10" t="e">
        <f>#REF!+'Base Financials - Oxford'!C18+'Base Financials - Middlesex'!C18+'Base Financials - ADSTV (2)'!C18+'Base Financials - Consol'!C18</f>
        <v>#REF!</v>
      </c>
      <c r="C19" s="10" t="e">
        <f>#REF!+'Base Financials - Oxford'!D18+'Base Financials - Middlesex'!D18+'Base Financials - ADSTV (2)'!D18+'Base Financials - Consol'!D18</f>
        <v>#REF!</v>
      </c>
      <c r="F19" s="10" t="e">
        <f>#REF!+'Base Financials - Oxford'!G18+'Base Financials - Middlesex'!G18+'Base Financials - ADSTV (2)'!G18+'Base Financials - Consol'!G18</f>
        <v>#REF!</v>
      </c>
      <c r="G19" s="83"/>
      <c r="H19" s="83"/>
      <c r="I19" s="10" t="e">
        <f>#REF!+'Base Financials - Oxford'!J18+'Base Financials - Middlesex'!J18+'Base Financials - ADSTV (2)'!J18+'Base Financials - Consol'!J18</f>
        <v>#REF!</v>
      </c>
      <c r="J19" s="83"/>
      <c r="K19" s="83"/>
      <c r="L19" s="10" t="e">
        <f>#REF!+'Base Financials - Oxford'!M18+'Base Financials - Middlesex'!M18+'Base Financials - ADSTV (2)'!M18+'Base Financials - Consol'!M18</f>
        <v>#REF!</v>
      </c>
      <c r="M19" s="52"/>
    </row>
    <row r="20" spans="1:14" x14ac:dyDescent="0.25">
      <c r="A20" s="48" t="s">
        <v>28</v>
      </c>
      <c r="B20" s="10" t="e">
        <f>#REF!+'Base Financials - Oxford'!C19+'Base Financials - Middlesex'!C19+'Base Financials - ADSTV (2)'!C19+'Base Financials - Consol'!C19</f>
        <v>#REF!</v>
      </c>
      <c r="C20" s="10" t="e">
        <f>#REF!+'Base Financials - Oxford'!D19+'Base Financials - Middlesex'!D19+'Base Financials - ADSTV (2)'!D19+'Base Financials - Consol'!D19</f>
        <v>#REF!</v>
      </c>
      <c r="F20" s="10" t="e">
        <f>#REF!+'Base Financials - Oxford'!G19+'Base Financials - Middlesex'!G19+'Base Financials - ADSTV (2)'!G19+'Base Financials - Consol'!G19</f>
        <v>#REF!</v>
      </c>
      <c r="G20" s="83"/>
      <c r="H20" s="83"/>
      <c r="I20" s="10" t="e">
        <f>#REF!+'Base Financials - Oxford'!J19+'Base Financials - Middlesex'!J19+'Base Financials - ADSTV (2)'!J19+'Base Financials - Consol'!J19</f>
        <v>#REF!</v>
      </c>
      <c r="J20" s="83"/>
      <c r="K20" s="83"/>
      <c r="L20" s="10" t="e">
        <f>#REF!+'Base Financials - Oxford'!M19+'Base Financials - Middlesex'!M19+'Base Financials - ADSTV (2)'!M19+'Base Financials - Consol'!M19</f>
        <v>#REF!</v>
      </c>
      <c r="M20" s="52"/>
    </row>
    <row r="21" spans="1:14" x14ac:dyDescent="0.25">
      <c r="A21" s="48" t="s">
        <v>29</v>
      </c>
      <c r="B21" s="10" t="e">
        <f>#REF!+'Base Financials - Oxford'!C20+'Base Financials - Middlesex'!C20+'Base Financials - ADSTV (2)'!C20+'Base Financials - Consol'!C20</f>
        <v>#REF!</v>
      </c>
      <c r="C21" s="10" t="e">
        <f>#REF!+'Base Financials - Oxford'!D20+'Base Financials - Middlesex'!D20+'Base Financials - ADSTV (2)'!D20+'Base Financials - Consol'!D20</f>
        <v>#REF!</v>
      </c>
      <c r="F21" s="10" t="e">
        <f>#REF!+'Base Financials - Oxford'!G20+'Base Financials - Middlesex'!G20+'Base Financials - ADSTV (2)'!G20+'Base Financials - Consol'!G20</f>
        <v>#REF!</v>
      </c>
      <c r="G21" s="83"/>
      <c r="H21" s="83"/>
      <c r="I21" s="10" t="e">
        <f>#REF!+'Base Financials - Oxford'!J20+'Base Financials - Middlesex'!J20+'Base Financials - ADSTV (2)'!J20+'Base Financials - Consol'!J20</f>
        <v>#REF!</v>
      </c>
      <c r="J21" s="83"/>
      <c r="K21" s="83"/>
      <c r="L21" s="10" t="e">
        <f>#REF!+'Base Financials - Oxford'!M20+'Base Financials - Middlesex'!M20+'Base Financials - ADSTV (2)'!M20+'Base Financials - Consol'!M20</f>
        <v>#REF!</v>
      </c>
      <c r="M21" s="52"/>
    </row>
    <row r="22" spans="1:14" x14ac:dyDescent="0.25">
      <c r="A22" s="48" t="s">
        <v>30</v>
      </c>
      <c r="B22" s="10" t="e">
        <f>#REF!+'Base Financials - Oxford'!C21+'Base Financials - Middlesex'!C21+'Base Financials - ADSTV (2)'!C21+'Base Financials - Consol'!C21</f>
        <v>#REF!</v>
      </c>
      <c r="C22" s="10" t="e">
        <f>#REF!+'Base Financials - Oxford'!D21+'Base Financials - Middlesex'!D21+'Base Financials - ADSTV (2)'!D21+'Base Financials - Consol'!D21</f>
        <v>#REF!</v>
      </c>
      <c r="F22" s="10" t="e">
        <f>#REF!+'Base Financials - Oxford'!G21+'Base Financials - Middlesex'!G21+'Base Financials - ADSTV (2)'!G21+'Base Financials - Consol'!G21</f>
        <v>#REF!</v>
      </c>
      <c r="G22" s="83"/>
      <c r="H22" s="83"/>
      <c r="I22" s="10" t="e">
        <f>#REF!+'Base Financials - Oxford'!J21+'Base Financials - Middlesex'!J21+'Base Financials - ADSTV (2)'!J21+'Base Financials - Consol'!J21</f>
        <v>#REF!</v>
      </c>
      <c r="J22" s="83"/>
      <c r="K22" s="83"/>
      <c r="L22" s="10" t="e">
        <f>#REF!+'Base Financials - Oxford'!M21+'Base Financials - Middlesex'!M21+'Base Financials - ADSTV (2)'!M21+'Base Financials - Consol'!M21</f>
        <v>#REF!</v>
      </c>
      <c r="M22" s="52"/>
    </row>
    <row r="23" spans="1:14" x14ac:dyDescent="0.25">
      <c r="A23" s="48" t="s">
        <v>31</v>
      </c>
      <c r="B23" s="10" t="e">
        <f>#REF!+'Base Financials - Oxford'!C22+'Base Financials - Middlesex'!C22+'Base Financials - ADSTV (2)'!C22+'Base Financials - Consol'!C22</f>
        <v>#REF!</v>
      </c>
      <c r="C23" s="10" t="e">
        <f>#REF!+'Base Financials - Oxford'!D22+'Base Financials - Middlesex'!D22+'Base Financials - ADSTV (2)'!D22+'Base Financials - Consol'!D22</f>
        <v>#REF!</v>
      </c>
      <c r="D23" s="11"/>
      <c r="F23" s="10" t="e">
        <f>#REF!+'Base Financials - Oxford'!G22+'Base Financials - Middlesex'!G22+'Base Financials - ADSTV (2)'!G22+'Base Financials - Consol'!G22</f>
        <v>#REF!</v>
      </c>
      <c r="G23" s="11"/>
      <c r="H23" s="83"/>
      <c r="I23" s="10" t="e">
        <f>#REF!+'Base Financials - Oxford'!J22+'Base Financials - Middlesex'!J22+'Base Financials - ADSTV (2)'!J22+'Base Financials - Consol'!J22</f>
        <v>#REF!</v>
      </c>
      <c r="J23" s="11"/>
      <c r="K23" s="83"/>
      <c r="L23" s="10" t="e">
        <f>#REF!+'Base Financials - Oxford'!M22+'Base Financials - Middlesex'!M22+'Base Financials - ADSTV (2)'!M22+'Base Financials - Consol'!M22</f>
        <v>#REF!</v>
      </c>
      <c r="M23" s="52"/>
    </row>
    <row r="24" spans="1:14" x14ac:dyDescent="0.25">
      <c r="A24" s="48"/>
      <c r="B24" s="10" t="e">
        <f>#REF!+'Base Financials - Oxford'!C23+'Base Financials - Middlesex'!C23+'Base Financials - ADSTV (2)'!C23+'Base Financials - Consol'!C23</f>
        <v>#REF!</v>
      </c>
      <c r="C24" s="10" t="e">
        <f>#REF!+'Base Financials - Oxford'!D23+'Base Financials - Middlesex'!D23+'Base Financials - ADSTV (2)'!D23+'Base Financials - Consol'!D23</f>
        <v>#REF!</v>
      </c>
      <c r="F24" s="10" t="e">
        <f>#REF!+'Base Financials - Oxford'!G23+'Base Financials - Middlesex'!G23+'Base Financials - ADSTV (2)'!G23+'Base Financials - Consol'!G23</f>
        <v>#REF!</v>
      </c>
      <c r="G24" s="83"/>
      <c r="H24" s="83"/>
      <c r="I24" s="10" t="e">
        <f>#REF!+'Base Financials - Oxford'!J23+'Base Financials - Middlesex'!J23+'Base Financials - ADSTV (2)'!J23+'Base Financials - Consol'!J23</f>
        <v>#REF!</v>
      </c>
      <c r="J24" s="83"/>
      <c r="K24" s="83"/>
      <c r="L24" s="10" t="e">
        <f>#REF!+'Base Financials - Oxford'!M23+'Base Financials - Middlesex'!M23+'Base Financials - ADSTV (2)'!M23+'Base Financials - Consol'!M23</f>
        <v>#REF!</v>
      </c>
    </row>
    <row r="25" spans="1:14" x14ac:dyDescent="0.25">
      <c r="A25" s="48" t="s">
        <v>32</v>
      </c>
      <c r="B25" s="10" t="e">
        <f>#REF!+'Base Financials - Oxford'!C24+'Base Financials - Middlesex'!C24+'Base Financials - ADSTV (2)'!C24+'Base Financials - Consol'!C24</f>
        <v>#REF!</v>
      </c>
      <c r="C25" s="10" t="e">
        <f>#REF!+'Base Financials - Oxford'!D24+'Base Financials - Middlesex'!D24+'Base Financials - ADSTV (2)'!D24+'Base Financials - Consol'!D24</f>
        <v>#REF!</v>
      </c>
      <c r="F25" s="10" t="e">
        <f>#REF!+'Base Financials - Oxford'!G24+'Base Financials - Middlesex'!G24+'Base Financials - ADSTV (2)'!G24+'Base Financials - Consol'!G24</f>
        <v>#REF!</v>
      </c>
      <c r="I25" s="10" t="e">
        <f>#REF!+'Base Financials - Oxford'!J24+'Base Financials - Middlesex'!J24+'Base Financials - ADSTV (2)'!J24+'Base Financials - Consol'!J24</f>
        <v>#REF!</v>
      </c>
      <c r="L25" s="10" t="e">
        <f>#REF!+'Base Financials - Oxford'!M24+'Base Financials - Middlesex'!M24+'Base Financials - ADSTV (2)'!M24+'Base Financials - Consol'!M24</f>
        <v>#REF!</v>
      </c>
    </row>
    <row r="26" spans="1:14" s="115" customFormat="1" ht="14.4" thickBot="1" x14ac:dyDescent="0.3">
      <c r="A26" s="14" t="s">
        <v>33</v>
      </c>
      <c r="B26" s="20" t="e">
        <f>SUM(B17:B25)+B14</f>
        <v>#REF!</v>
      </c>
      <c r="C26" s="20" t="e">
        <f>SUM(C14:C25)</f>
        <v>#REF!</v>
      </c>
      <c r="D26" s="20" t="e">
        <f>SUM(D14:D25)</f>
        <v>#REF!</v>
      </c>
      <c r="E26" s="20">
        <f>SUM(E14:E25)</f>
        <v>0</v>
      </c>
      <c r="F26" s="20" t="e">
        <f>SUM(F14:F25)</f>
        <v>#REF!</v>
      </c>
      <c r="I26" s="20" t="e">
        <f>SUM(I14:I25)</f>
        <v>#REF!</v>
      </c>
      <c r="J26" s="20" t="e">
        <f>SUM(J14:J25)</f>
        <v>#REF!</v>
      </c>
      <c r="K26" s="20">
        <f>SUM(K14:K25)</f>
        <v>0</v>
      </c>
      <c r="L26" s="20" t="e">
        <f>SUM(L14:L25)</f>
        <v>#REF!</v>
      </c>
      <c r="M26" s="20" t="e">
        <f>SUM(M14:M25)</f>
        <v>#REF!</v>
      </c>
    </row>
    <row r="27" spans="1:14" ht="14.4" thickTop="1" x14ac:dyDescent="0.25">
      <c r="A27" s="9"/>
      <c r="B27" s="167" t="e">
        <f>#REF!+'Base Financials - Oxford'!C25+'Base Financials - Middlesex'!C25+'Base Financials - ADSTV (2)'!C25+'Base Financials - Consol'!C25-B26</f>
        <v>#REF!</v>
      </c>
      <c r="C27" s="167" t="e">
        <f>#REF!+'Base Financials - Oxford'!D25+'Base Financials - Middlesex'!D25+'Base Financials - ADSTV (2)'!D25+'Base Financials - Consol'!D25-C26</f>
        <v>#REF!</v>
      </c>
      <c r="D27" s="180"/>
      <c r="E27" s="180"/>
      <c r="F27" s="167" t="e">
        <f>#REF!+'Base Financials - Oxford'!G25+'Base Financials - Middlesex'!G25+'Base Financials - ADSTV (2)'!G25+'Base Financials - Consol'!G25-F26</f>
        <v>#REF!</v>
      </c>
      <c r="G27" s="180"/>
      <c r="H27" s="180"/>
      <c r="I27" s="167" t="e">
        <f>#REF!+'Base Financials - Oxford'!J25+'Base Financials - Middlesex'!J25+'Base Financials - ADSTV (2)'!J25+'Base Financials - Consol'!J25-I26</f>
        <v>#REF!</v>
      </c>
      <c r="J27" s="180"/>
      <c r="K27" s="180"/>
      <c r="L27" s="167" t="e">
        <f>#REF!+'Base Financials - Oxford'!M25+'Base Financials - Middlesex'!M25+'Base Financials - ADSTV (2)'!M25+'Base Financials - Consol'!M25-L26</f>
        <v>#REF!</v>
      </c>
      <c r="M27" s="180"/>
      <c r="N27" s="180"/>
    </row>
    <row r="28" spans="1:14" x14ac:dyDescent="0.25">
      <c r="A28" s="6" t="s">
        <v>34</v>
      </c>
      <c r="B28" s="18"/>
      <c r="C28" s="11"/>
      <c r="F28" s="11"/>
      <c r="I28" s="11"/>
      <c r="L28" s="11"/>
    </row>
    <row r="29" spans="1:14" ht="25.2" customHeight="1" x14ac:dyDescent="0.25">
      <c r="A29" s="9" t="s">
        <v>35</v>
      </c>
      <c r="B29" s="19"/>
      <c r="C29" s="19"/>
      <c r="F29" s="19"/>
      <c r="I29" s="19"/>
      <c r="L29" s="19"/>
    </row>
    <row r="30" spans="1:14" x14ac:dyDescent="0.25">
      <c r="A30" s="48" t="s">
        <v>36</v>
      </c>
      <c r="B30" s="10" t="e">
        <f>#REF!+'Base Financials - Oxford'!C29+'Base Financials - Middlesex'!C29+'Base Financials - ADSTV (2)'!C29+'Base Financials - Consol'!C29</f>
        <v>#REF!</v>
      </c>
      <c r="C30" s="10" t="e">
        <f>#REF!+'Base Financials - Oxford'!D29+'Base Financials - Middlesex'!D29+'Base Financials - ADSTV (2)'!D29+'Base Financials - Consol'!D29</f>
        <v>#REF!</v>
      </c>
      <c r="D30" s="11" t="e">
        <f>C30-B30</f>
        <v>#REF!</v>
      </c>
      <c r="F30" s="10" t="e">
        <f>#REF!+'Base Financials - Oxford'!G29+'Base Financials - Middlesex'!G29+'Base Financials - ADSTV (2)'!G29+'Base Financials - Consol'!G29</f>
        <v>#REF!</v>
      </c>
      <c r="G30" s="11" t="e">
        <f>F30-C30</f>
        <v>#REF!</v>
      </c>
      <c r="H30" s="83"/>
      <c r="I30" s="10" t="e">
        <f>#REF!+'Base Financials - Oxford'!J29+'Base Financials - Middlesex'!J29+'Base Financials - ADSTV (2)'!J29+'Base Financials - Consol'!J29</f>
        <v>#REF!</v>
      </c>
      <c r="J30" s="11" t="e">
        <f>I30-F30</f>
        <v>#REF!</v>
      </c>
      <c r="K30" s="83"/>
      <c r="L30" s="10" t="e">
        <f>#REF!+'Base Financials - Oxford'!M29+'Base Financials - Middlesex'!M29+'Base Financials - ADSTV (2)'!M29+'Base Financials - Consol'!M29</f>
        <v>#REF!</v>
      </c>
      <c r="M30" s="52" t="e">
        <f>L30-I30</f>
        <v>#REF!</v>
      </c>
    </row>
    <row r="31" spans="1:14" x14ac:dyDescent="0.25">
      <c r="A31" s="48" t="s">
        <v>37</v>
      </c>
      <c r="B31" s="10" t="e">
        <f>#REF!+'Base Financials - Oxford'!C30+'Base Financials - Middlesex'!C30+'Base Financials - ADSTV (2)'!C30+'Base Financials - Consol'!C30</f>
        <v>#REF!</v>
      </c>
      <c r="C31" s="10" t="e">
        <f>#REF!+'Base Financials - Oxford'!D30+'Base Financials - Middlesex'!D30+'Base Financials - ADSTV (2)'!D30+'Base Financials - Consol'!D30</f>
        <v>#REF!</v>
      </c>
      <c r="D31" s="11" t="e">
        <f>C31-B31</f>
        <v>#REF!</v>
      </c>
      <c r="F31" s="10" t="e">
        <f>#REF!+'Base Financials - Oxford'!G30+'Base Financials - Middlesex'!G30+'Base Financials - ADSTV (2)'!G30+'Base Financials - Consol'!G30</f>
        <v>#REF!</v>
      </c>
      <c r="G31" s="11" t="e">
        <f>F31-C31</f>
        <v>#REF!</v>
      </c>
      <c r="H31" s="83"/>
      <c r="I31" s="10" t="e">
        <f>#REF!+'Base Financials - Oxford'!J30+'Base Financials - Middlesex'!J30+'Base Financials - ADSTV (2)'!J30+'Base Financials - Consol'!J30</f>
        <v>#REF!</v>
      </c>
      <c r="J31" s="11" t="e">
        <f>I31-F31</f>
        <v>#REF!</v>
      </c>
      <c r="K31" s="83"/>
      <c r="L31" s="10" t="e">
        <f>#REF!+'Base Financials - Oxford'!M30+'Base Financials - Middlesex'!M30+'Base Financials - ADSTV (2)'!M30+'Base Financials - Consol'!M30</f>
        <v>#REF!</v>
      </c>
      <c r="M31" s="52" t="e">
        <f>L31-I31</f>
        <v>#REF!</v>
      </c>
    </row>
    <row r="32" spans="1:14" x14ac:dyDescent="0.25">
      <c r="A32" s="48" t="str">
        <f>+'Base Financials - Middlesex'!A31</f>
        <v>Internal Equity</v>
      </c>
      <c r="B32" s="10" t="e">
        <f>#REF!+'Base Financials - Oxford'!C31+'Base Financials - Middlesex'!C31+'Base Financials - ADSTV (2)'!C31+'Base Financials - Consol'!C31</f>
        <v>#REF!</v>
      </c>
      <c r="C32" s="10" t="e">
        <f>#REF!+'Base Financials - Oxford'!D31+'Base Financials - Middlesex'!D31+'Base Financials - ADSTV (2)'!D31+'Base Financials - Consol'!D31</f>
        <v>#REF!</v>
      </c>
      <c r="F32" s="10" t="e">
        <f>#REF!+'Base Financials - Oxford'!G31+'Base Financials - Middlesex'!G31+'Base Financials - ADSTV (2)'!G31+'Base Financials - Consol'!G31</f>
        <v>#REF!</v>
      </c>
      <c r="I32" s="10" t="e">
        <f>#REF!+'Base Financials - Oxford'!J31+'Base Financials - Middlesex'!J31+'Base Financials - ADSTV (2)'!J31+'Base Financials - Consol'!J31</f>
        <v>#REF!</v>
      </c>
      <c r="L32" s="10" t="e">
        <f>#REF!+'Base Financials - Oxford'!M31+'Base Financials - Middlesex'!M31+'Base Financials - ADSTV (2)'!M31+'Base Financials - Consol'!M31</f>
        <v>#REF!</v>
      </c>
    </row>
    <row r="33" spans="1:14" x14ac:dyDescent="0.25">
      <c r="A33" s="48" t="str">
        <f>+'Base Financials - Middlesex'!A32</f>
        <v>Savings of Duplicate positions</v>
      </c>
      <c r="B33" s="10">
        <f>+'Base Financials - Middlesex'!C32</f>
        <v>0</v>
      </c>
      <c r="C33" s="10">
        <f>+'Base Financials - Middlesex'!D32</f>
        <v>0</v>
      </c>
      <c r="F33" s="10">
        <f>+'Base Financials - Middlesex'!G32</f>
        <v>0</v>
      </c>
      <c r="I33" s="10"/>
      <c r="L33" s="10"/>
    </row>
    <row r="34" spans="1:14" s="13" customFormat="1" x14ac:dyDescent="0.25">
      <c r="A34" s="9" t="s">
        <v>39</v>
      </c>
      <c r="B34" s="162" t="e">
        <f>SUM(B30:B33)</f>
        <v>#REF!</v>
      </c>
      <c r="C34" s="162" t="e">
        <f>SUM(C30:C33)</f>
        <v>#REF!</v>
      </c>
      <c r="D34" s="162" t="e">
        <f t="shared" ref="D34:N34" si="0">SUM(D30:D32)</f>
        <v>#REF!</v>
      </c>
      <c r="E34" s="162">
        <f t="shared" si="0"/>
        <v>0</v>
      </c>
      <c r="F34" s="162" t="e">
        <f>SUM(F30:F33)</f>
        <v>#REF!</v>
      </c>
      <c r="G34" s="162" t="e">
        <f t="shared" si="0"/>
        <v>#REF!</v>
      </c>
      <c r="H34" s="162">
        <f t="shared" si="0"/>
        <v>0</v>
      </c>
      <c r="I34" s="162" t="e">
        <f>SUM(I30:I32)</f>
        <v>#REF!</v>
      </c>
      <c r="J34" s="162" t="e">
        <f t="shared" si="0"/>
        <v>#REF!</v>
      </c>
      <c r="K34" s="162">
        <f t="shared" si="0"/>
        <v>0</v>
      </c>
      <c r="L34" s="162" t="e">
        <f>SUM(L30:L32)</f>
        <v>#REF!</v>
      </c>
      <c r="M34" s="162" t="e">
        <f t="shared" si="0"/>
        <v>#REF!</v>
      </c>
      <c r="N34" s="162">
        <f t="shared" si="0"/>
        <v>0</v>
      </c>
    </row>
    <row r="35" spans="1:14" x14ac:dyDescent="0.25">
      <c r="A35" s="48"/>
      <c r="B35" s="166">
        <v>0</v>
      </c>
      <c r="C35" s="166">
        <v>0</v>
      </c>
      <c r="D35" s="166"/>
      <c r="E35" s="166"/>
      <c r="F35" s="166">
        <v>0</v>
      </c>
      <c r="G35" s="166"/>
      <c r="H35" s="166"/>
      <c r="I35" s="166" t="e">
        <f>#REF!+'Base Financials - Oxford'!J32+'Base Financials - Middlesex'!J33+'Base Financials - ADSTV (2)'!J32+'Base Financials - Consol'!J32-I34</f>
        <v>#REF!</v>
      </c>
      <c r="J35" s="166"/>
      <c r="K35" s="166"/>
      <c r="L35" s="166" t="e">
        <f>#REF!+'Base Financials - Oxford'!M32+'Base Financials - Middlesex'!M33+'Base Financials - ADSTV (2)'!M32+'Base Financials - Consol'!M32-L34</f>
        <v>#REF!</v>
      </c>
      <c r="M35" s="166"/>
      <c r="N35" s="166"/>
    </row>
    <row r="36" spans="1:14" x14ac:dyDescent="0.25">
      <c r="A36" s="48" t="s">
        <v>40</v>
      </c>
      <c r="B36" s="10" t="e">
        <f>#REF!+'Base Financials - Oxford'!C34+'Base Financials - Middlesex'!C34+'Base Financials - ADSTV (2)'!C34+'Base Financials - Consol'!C34</f>
        <v>#REF!</v>
      </c>
      <c r="C36" s="10" t="e">
        <f>#REF!+'Base Financials - Oxford'!D34+'Base Financials - Middlesex'!D34+'Base Financials - ADSTV (2)'!D34+'Base Financials - Consol'!D34</f>
        <v>#REF!</v>
      </c>
      <c r="D36" s="11" t="e">
        <f>C36-B36</f>
        <v>#REF!</v>
      </c>
      <c r="F36" s="10" t="e">
        <f>#REF!+'Base Financials - Oxford'!G34+'Base Financials - Middlesex'!G34+'Base Financials - ADSTV (2)'!G34+'Base Financials - Consol'!G34</f>
        <v>#REF!</v>
      </c>
      <c r="G36" s="11" t="e">
        <f>F36-C36</f>
        <v>#REF!</v>
      </c>
      <c r="H36" s="83"/>
      <c r="I36" s="10" t="e">
        <f>#REF!+'Base Financials - Oxford'!J34+'Base Financials - Middlesex'!J34+'Base Financials - ADSTV (2)'!J34+'Base Financials - Consol'!J34</f>
        <v>#REF!</v>
      </c>
      <c r="J36" s="11" t="e">
        <f>I36-F36</f>
        <v>#REF!</v>
      </c>
      <c r="K36" s="83"/>
      <c r="L36" s="10" t="e">
        <f>#REF!+'Base Financials - Oxford'!M34+'Base Financials - Middlesex'!M34+'Base Financials - ADSTV (2)'!M34+'Base Financials - Consol'!M34</f>
        <v>#REF!</v>
      </c>
      <c r="M36" s="52" t="e">
        <f>L36-I36</f>
        <v>#REF!</v>
      </c>
    </row>
    <row r="37" spans="1:14" x14ac:dyDescent="0.25">
      <c r="A37" s="48"/>
      <c r="B37" s="10"/>
      <c r="C37" s="10"/>
      <c r="D37" s="11"/>
      <c r="F37" s="10"/>
      <c r="G37" s="11"/>
      <c r="H37" s="83"/>
      <c r="I37" s="10"/>
      <c r="J37" s="11"/>
      <c r="K37" s="83"/>
      <c r="L37" s="10"/>
      <c r="M37" s="52"/>
    </row>
    <row r="38" spans="1:14" s="74" customFormat="1" x14ac:dyDescent="0.25">
      <c r="A38" s="21" t="s">
        <v>41</v>
      </c>
      <c r="B38" s="22" t="e">
        <f t="shared" ref="B38:M38" si="1">SUM(B34:B36)</f>
        <v>#REF!</v>
      </c>
      <c r="C38" s="22" t="e">
        <f t="shared" si="1"/>
        <v>#REF!</v>
      </c>
      <c r="D38" s="22" t="e">
        <f t="shared" si="1"/>
        <v>#REF!</v>
      </c>
      <c r="E38" s="22">
        <f t="shared" si="1"/>
        <v>0</v>
      </c>
      <c r="F38" s="22" t="e">
        <f t="shared" si="1"/>
        <v>#REF!</v>
      </c>
      <c r="G38" s="22" t="e">
        <f t="shared" si="1"/>
        <v>#REF!</v>
      </c>
      <c r="H38" s="22">
        <f t="shared" si="1"/>
        <v>0</v>
      </c>
      <c r="I38" s="22" t="e">
        <f t="shared" si="1"/>
        <v>#REF!</v>
      </c>
      <c r="J38" s="22" t="e">
        <f t="shared" si="1"/>
        <v>#REF!</v>
      </c>
      <c r="K38" s="22">
        <f t="shared" si="1"/>
        <v>0</v>
      </c>
      <c r="L38" s="22" t="e">
        <f t="shared" si="1"/>
        <v>#REF!</v>
      </c>
      <c r="M38" s="22" t="e">
        <f t="shared" si="1"/>
        <v>#REF!</v>
      </c>
    </row>
    <row r="39" spans="1:14" x14ac:dyDescent="0.25">
      <c r="A39" s="9"/>
      <c r="B39" s="165">
        <v>0</v>
      </c>
      <c r="C39" s="165">
        <v>0</v>
      </c>
      <c r="D39" s="180"/>
      <c r="E39" s="180"/>
      <c r="F39" s="165">
        <v>0</v>
      </c>
      <c r="G39" s="180"/>
      <c r="H39" s="180"/>
      <c r="I39" s="165" t="e">
        <f>#REF!+'Base Financials - Oxford'!J35+'Base Financials - Middlesex'!J35+'Base Financials - ADSTV (2)'!J35+'Base Financials - Consol'!J35-I38</f>
        <v>#REF!</v>
      </c>
      <c r="J39" s="180"/>
      <c r="K39" s="180"/>
      <c r="L39" s="165" t="e">
        <f>#REF!+'Base Financials - Oxford'!M35+'Base Financials - Middlesex'!M35+'Base Financials - ADSTV (2)'!M35+'Base Financials - Consol'!M35-L38</f>
        <v>#REF!</v>
      </c>
      <c r="M39" s="180"/>
      <c r="N39" s="180"/>
    </row>
    <row r="40" spans="1:14" ht="25.2" customHeight="1" x14ac:dyDescent="0.25">
      <c r="A40" s="9" t="s">
        <v>42</v>
      </c>
      <c r="B40" s="10"/>
      <c r="C40" s="10"/>
      <c r="F40" s="10"/>
      <c r="I40" s="10"/>
      <c r="L40" s="10"/>
    </row>
    <row r="41" spans="1:14" x14ac:dyDescent="0.25">
      <c r="A41" s="48" t="s">
        <v>43</v>
      </c>
      <c r="B41" s="19" t="e">
        <f>#REF!+'Base Financials - Oxford'!C38+'Base Financials - Middlesex'!C38+'Base Financials - ADSTV (2)'!C38+'Base Financials - Consol'!C38</f>
        <v>#REF!</v>
      </c>
      <c r="C41" s="19" t="e">
        <f>#REF!+'Base Financials - Oxford'!D38+'Base Financials - Middlesex'!D38+'Base Financials - ADSTV (2)'!D38+'Base Financials - Consol'!D38</f>
        <v>#REF!</v>
      </c>
      <c r="D41" s="11" t="e">
        <f>C41-B41</f>
        <v>#REF!</v>
      </c>
      <c r="F41" s="19" t="e">
        <f>#REF!+'Base Financials - Oxford'!G38+'Base Financials - Middlesex'!G38+'Base Financials - ADSTV (2)'!G38+'Base Financials - Consol'!G38</f>
        <v>#REF!</v>
      </c>
      <c r="G41" s="11" t="e">
        <f>F41-C41</f>
        <v>#REF!</v>
      </c>
      <c r="I41" s="19" t="e">
        <f>#REF!+'Base Financials - Oxford'!J38+'Base Financials - Middlesex'!J38+'Base Financials - ADSTV (2)'!J38+'Base Financials - Consol'!J38</f>
        <v>#REF!</v>
      </c>
      <c r="J41" s="11" t="e">
        <f>I41-F41</f>
        <v>#REF!</v>
      </c>
      <c r="L41" s="19" t="e">
        <f>#REF!+'Base Financials - Oxford'!M38+'Base Financials - Middlesex'!M38+'Base Financials - ADSTV (2)'!M38+'Base Financials - Consol'!M38</f>
        <v>#REF!</v>
      </c>
      <c r="M41" s="52" t="e">
        <f>L41-I41</f>
        <v>#REF!</v>
      </c>
    </row>
    <row r="42" spans="1:14" x14ac:dyDescent="0.25">
      <c r="A42" s="48" t="s">
        <v>44</v>
      </c>
      <c r="B42" s="19" t="e">
        <f>#REF!+'Base Financials - Oxford'!C39+'Base Financials - Middlesex'!C39+'Base Financials - ADSTV (2)'!C39+'Base Financials - Consol'!C39</f>
        <v>#REF!</v>
      </c>
      <c r="C42" s="19" t="e">
        <f>#REF!+'Base Financials - Oxford'!D39+'Base Financials - Middlesex'!D39+'Base Financials - ADSTV (2)'!D39+'Base Financials - Consol'!D39</f>
        <v>#REF!</v>
      </c>
      <c r="D42" s="11" t="e">
        <f>C42-B42</f>
        <v>#REF!</v>
      </c>
      <c r="F42" s="19" t="e">
        <f>#REF!+'Base Financials - Oxford'!G39+'Base Financials - Middlesex'!G39+'Base Financials - ADSTV (2)'!G39+'Base Financials - Consol'!G39</f>
        <v>#REF!</v>
      </c>
      <c r="G42" s="11" t="e">
        <f>F42-C42</f>
        <v>#REF!</v>
      </c>
      <c r="I42" s="19" t="e">
        <f>#REF!+'Base Financials - Oxford'!J39+'Base Financials - Middlesex'!J39+'Base Financials - ADSTV (2)'!J39+'Base Financials - Consol'!J39</f>
        <v>#REF!</v>
      </c>
      <c r="J42" s="11" t="e">
        <f>I42-F42</f>
        <v>#REF!</v>
      </c>
      <c r="L42" s="19" t="e">
        <f>#REF!+'Base Financials - Oxford'!M39+'Base Financials - Middlesex'!M39+'Base Financials - ADSTV (2)'!M39+'Base Financials - Consol'!M39</f>
        <v>#REF!</v>
      </c>
      <c r="M42" s="52" t="e">
        <f>L42-I42</f>
        <v>#REF!</v>
      </c>
    </row>
    <row r="43" spans="1:14" s="74" customFormat="1" x14ac:dyDescent="0.25">
      <c r="A43" s="21" t="s">
        <v>45</v>
      </c>
      <c r="B43" s="22" t="e">
        <f>SUM(B41:B42)</f>
        <v>#REF!</v>
      </c>
      <c r="C43" s="22" t="e">
        <f>SUM(C41:C42)</f>
        <v>#REF!</v>
      </c>
      <c r="D43" s="22" t="e">
        <f t="shared" ref="D43:M43" si="2">SUM(D41:D42)</f>
        <v>#REF!</v>
      </c>
      <c r="E43" s="22">
        <f t="shared" si="2"/>
        <v>0</v>
      </c>
      <c r="F43" s="22" t="e">
        <f>SUM(F41:F42)</f>
        <v>#REF!</v>
      </c>
      <c r="G43" s="22" t="e">
        <f t="shared" si="2"/>
        <v>#REF!</v>
      </c>
      <c r="H43" s="22">
        <f t="shared" si="2"/>
        <v>0</v>
      </c>
      <c r="I43" s="22" t="e">
        <f>SUM(I41:I42)</f>
        <v>#REF!</v>
      </c>
      <c r="J43" s="22" t="e">
        <f t="shared" si="2"/>
        <v>#REF!</v>
      </c>
      <c r="K43" s="22">
        <f t="shared" si="2"/>
        <v>0</v>
      </c>
      <c r="L43" s="22" t="e">
        <f>SUM(L41:L42)</f>
        <v>#REF!</v>
      </c>
      <c r="M43" s="22" t="e">
        <f t="shared" si="2"/>
        <v>#REF!</v>
      </c>
    </row>
    <row r="44" spans="1:14" x14ac:dyDescent="0.25">
      <c r="A44" s="9"/>
      <c r="B44" s="167" t="e">
        <f>#REF!+'Base Financials - Oxford'!C40+'Base Financials - Middlesex'!C40+'Base Financials - ADSTV (2)'!C40+'Base Financials - Consol'!C40-B43</f>
        <v>#REF!</v>
      </c>
      <c r="C44" s="167" t="e">
        <f>#REF!+'Base Financials - Oxford'!D40+'Base Financials - Middlesex'!D40+'Base Financials - ADSTV (2)'!D40+'Base Financials - Consol'!D40-C43</f>
        <v>#REF!</v>
      </c>
      <c r="D44" s="180"/>
      <c r="E44" s="180"/>
      <c r="F44" s="167" t="e">
        <f>#REF!+'Base Financials - Oxford'!G40+'Base Financials - Middlesex'!G40+'Base Financials - ADSTV (2)'!G40+'Base Financials - Consol'!G40-F43</f>
        <v>#REF!</v>
      </c>
      <c r="G44" s="180"/>
      <c r="H44" s="180"/>
      <c r="I44" s="167" t="e">
        <f>#REF!+'Base Financials - Oxford'!J40+'Base Financials - Middlesex'!J40+'Base Financials - ADSTV (2)'!J40+'Base Financials - Consol'!J40-I43</f>
        <v>#REF!</v>
      </c>
      <c r="J44" s="180"/>
      <c r="K44" s="180"/>
      <c r="L44" s="167" t="e">
        <f>#REF!+'Base Financials - Oxford'!M40+'Base Financials - Middlesex'!M40+'Base Financials - ADSTV (2)'!M40+'Base Financials - Consol'!M40-L43</f>
        <v>#REF!</v>
      </c>
      <c r="M44" s="180"/>
      <c r="N44" s="180"/>
    </row>
    <row r="45" spans="1:14" ht="25.2" customHeight="1" x14ac:dyDescent="0.25">
      <c r="A45" s="9" t="s">
        <v>46</v>
      </c>
      <c r="B45" s="19"/>
      <c r="C45" s="19"/>
      <c r="F45" s="19"/>
      <c r="I45" s="19"/>
      <c r="L45" s="19"/>
    </row>
    <row r="46" spans="1:14" x14ac:dyDescent="0.25">
      <c r="A46" s="48" t="s">
        <v>47</v>
      </c>
      <c r="B46" s="19" t="e">
        <f>#REF!+'Base Financials - Oxford'!C43+'Base Financials - Middlesex'!C43+'Base Financials - ADSTV (2)'!C43+'Base Financials - Consol'!C43</f>
        <v>#REF!</v>
      </c>
      <c r="C46" s="19" t="e">
        <f>#REF!+'Base Financials - Oxford'!D43+'Base Financials - Middlesex'!D43+'Base Financials - ADSTV (2)'!D43+'Base Financials - Consol'!D43</f>
        <v>#REF!</v>
      </c>
      <c r="D46" s="11" t="e">
        <f>C46-B46</f>
        <v>#REF!</v>
      </c>
      <c r="F46" s="19" t="e">
        <f>#REF!+'Base Financials - Oxford'!G43+'Base Financials - Middlesex'!G43+'Base Financials - ADSTV (2)'!G43+'Base Financials - Consol'!G43</f>
        <v>#REF!</v>
      </c>
      <c r="G46" s="11" t="e">
        <f>F46-C46</f>
        <v>#REF!</v>
      </c>
      <c r="H46" s="83"/>
      <c r="I46" s="19" t="e">
        <f>#REF!+'Base Financials - Oxford'!J43+'Base Financials - Middlesex'!J43+'Base Financials - ADSTV (2)'!J43+'Base Financials - Consol'!J43</f>
        <v>#REF!</v>
      </c>
      <c r="J46" s="11" t="e">
        <f>I46-F46</f>
        <v>#REF!</v>
      </c>
      <c r="K46" s="83"/>
      <c r="L46" s="19" t="e">
        <f>#REF!+'Base Financials - Oxford'!M43+'Base Financials - Middlesex'!M43+'Base Financials - ADSTV (2)'!M43+'Base Financials - Consol'!M43</f>
        <v>#REF!</v>
      </c>
      <c r="M46" s="52" t="e">
        <f>L46-I46</f>
        <v>#REF!</v>
      </c>
    </row>
    <row r="47" spans="1:14" x14ac:dyDescent="0.25">
      <c r="A47" s="48" t="s">
        <v>48</v>
      </c>
      <c r="B47" s="19" t="e">
        <f>#REF!+'Base Financials - Oxford'!C44+'Base Financials - Middlesex'!C44+'Base Financials - ADSTV (2)'!C44+'Base Financials - Consol'!C44</f>
        <v>#REF!</v>
      </c>
      <c r="C47" s="19" t="e">
        <f>#REF!+'Base Financials - Oxford'!D44+'Base Financials - Middlesex'!D44+'Base Financials - ADSTV (2)'!D44+'Base Financials - Consol'!D44</f>
        <v>#REF!</v>
      </c>
      <c r="D47" s="11" t="e">
        <f>C47-B47</f>
        <v>#REF!</v>
      </c>
      <c r="F47" s="19" t="e">
        <f>#REF!+'Base Financials - Oxford'!G44+'Base Financials - Middlesex'!G44+'Base Financials - ADSTV (2)'!G44+'Base Financials - Consol'!G44</f>
        <v>#REF!</v>
      </c>
      <c r="G47" s="11" t="e">
        <f>F47-C47</f>
        <v>#REF!</v>
      </c>
      <c r="H47" s="83"/>
      <c r="I47" s="19" t="e">
        <f>#REF!+'Base Financials - Oxford'!J44+'Base Financials - Middlesex'!J44+'Base Financials - ADSTV (2)'!J44+'Base Financials - Consol'!J44</f>
        <v>#REF!</v>
      </c>
      <c r="J47" s="11" t="e">
        <f>I47-F47</f>
        <v>#REF!</v>
      </c>
      <c r="K47" s="83"/>
      <c r="L47" s="19" t="e">
        <f>#REF!+'Base Financials - Oxford'!M44+'Base Financials - Middlesex'!M44+'Base Financials - ADSTV (2)'!M44+'Base Financials - Consol'!M44</f>
        <v>#REF!</v>
      </c>
      <c r="M47" s="52" t="e">
        <f>L47-I47</f>
        <v>#REF!</v>
      </c>
    </row>
    <row r="48" spans="1:14" x14ac:dyDescent="0.25">
      <c r="A48" s="48" t="s">
        <v>49</v>
      </c>
      <c r="B48" s="19" t="e">
        <f>#REF!+'Base Financials - Oxford'!C45+'Base Financials - Middlesex'!C45+'Base Financials - ADSTV (2)'!C45+'Base Financials - Consol'!C45</f>
        <v>#REF!</v>
      </c>
      <c r="C48" s="19" t="e">
        <f>#REF!+'Base Financials - Oxford'!D45+'Base Financials - Middlesex'!D45+'Base Financials - ADSTV (2)'!D45+'Base Financials - Consol'!D45</f>
        <v>#REF!</v>
      </c>
      <c r="D48" s="11" t="e">
        <f>C48-B48</f>
        <v>#REF!</v>
      </c>
      <c r="F48" s="19" t="e">
        <f>#REF!+'Base Financials - Oxford'!G45+'Base Financials - Middlesex'!G45+'Base Financials - ADSTV (2)'!G45+'Base Financials - Consol'!G45</f>
        <v>#REF!</v>
      </c>
      <c r="G48" s="11" t="e">
        <f>F48-C48</f>
        <v>#REF!</v>
      </c>
      <c r="H48" s="83"/>
      <c r="I48" s="19" t="e">
        <f>#REF!+'Base Financials - Oxford'!J45+'Base Financials - Middlesex'!J45+'Base Financials - ADSTV (2)'!J45+'Base Financials - Consol'!J45</f>
        <v>#REF!</v>
      </c>
      <c r="J48" s="11" t="e">
        <f>I48-F48</f>
        <v>#REF!</v>
      </c>
      <c r="K48" s="83"/>
      <c r="L48" s="19" t="e">
        <f>#REF!+'Base Financials - Oxford'!M45+'Base Financials - Middlesex'!M45+'Base Financials - ADSTV (2)'!M45+'Base Financials - Consol'!M45</f>
        <v>#REF!</v>
      </c>
      <c r="M48" s="52" t="e">
        <f>L48-I48</f>
        <v>#REF!</v>
      </c>
    </row>
    <row r="49" spans="1:14" x14ac:dyDescent="0.25">
      <c r="A49" s="48" t="s">
        <v>50</v>
      </c>
      <c r="B49" s="19" t="e">
        <f>#REF!+'Base Financials - Oxford'!C46+'Base Financials - Middlesex'!C46+'Base Financials - ADSTV (2)'!C46+'Base Financials - Consol'!C46</f>
        <v>#REF!</v>
      </c>
      <c r="C49" s="19" t="e">
        <f>#REF!+'Base Financials - Oxford'!D46+'Base Financials - Middlesex'!D46+'Base Financials - ADSTV (2)'!D46+'Base Financials - Consol'!D46</f>
        <v>#REF!</v>
      </c>
      <c r="D49" s="11"/>
      <c r="F49" s="19" t="e">
        <f>#REF!+'Base Financials - Oxford'!G46+'Base Financials - Middlesex'!G46+'Base Financials - ADSTV (2)'!G46+'Base Financials - Consol'!G46</f>
        <v>#REF!</v>
      </c>
      <c r="G49" s="11"/>
      <c r="H49" s="83"/>
      <c r="I49" s="19" t="e">
        <f>#REF!+'Base Financials - Oxford'!J46+'Base Financials - Middlesex'!J46+'Base Financials - ADSTV (2)'!J46+'Base Financials - Consol'!J46</f>
        <v>#REF!</v>
      </c>
      <c r="J49" s="11"/>
      <c r="K49" s="83"/>
      <c r="L49" s="19" t="e">
        <f>#REF!+'Base Financials - Oxford'!M46+'Base Financials - Middlesex'!M46+'Base Financials - ADSTV (2)'!M46+'Base Financials - Consol'!M46</f>
        <v>#REF!</v>
      </c>
      <c r="M49" s="52"/>
    </row>
    <row r="50" spans="1:14" x14ac:dyDescent="0.25">
      <c r="A50" s="48" t="s">
        <v>51</v>
      </c>
      <c r="B50" s="19" t="e">
        <f>#REF!+'Base Financials - Oxford'!C47+'Base Financials - Middlesex'!C47+'Base Financials - ADSTV (2)'!C47+'Base Financials - Consol'!C47</f>
        <v>#REF!</v>
      </c>
      <c r="C50" s="19" t="e">
        <f>#REF!+'Base Financials - Oxford'!D47+'Base Financials - Middlesex'!D47+'Base Financials - ADSTV (2)'!D47+'Base Financials - Consol'!D47</f>
        <v>#REF!</v>
      </c>
      <c r="D50" s="11" t="e">
        <f>C50-B50</f>
        <v>#REF!</v>
      </c>
      <c r="F50" s="19" t="e">
        <f>#REF!+'Base Financials - Oxford'!G47+'Base Financials - Middlesex'!G47+'Base Financials - ADSTV (2)'!G47+'Base Financials - Consol'!G47</f>
        <v>#REF!</v>
      </c>
      <c r="G50" s="11" t="e">
        <f>F50-C50</f>
        <v>#REF!</v>
      </c>
      <c r="H50" s="83"/>
      <c r="I50" s="19" t="e">
        <f>#REF!+'Base Financials - Oxford'!J47+'Base Financials - Middlesex'!J47+'Base Financials - ADSTV (2)'!J47+'Base Financials - Consol'!J47</f>
        <v>#REF!</v>
      </c>
      <c r="J50" s="11" t="e">
        <f>I50-F50</f>
        <v>#REF!</v>
      </c>
      <c r="K50" s="83"/>
      <c r="L50" s="19" t="e">
        <f>#REF!+'Base Financials - Oxford'!M47+'Base Financials - Middlesex'!M47+'Base Financials - ADSTV (2)'!M47+'Base Financials - Consol'!M47</f>
        <v>#REF!</v>
      </c>
      <c r="M50" s="52" t="e">
        <f>L50-I50</f>
        <v>#REF!</v>
      </c>
    </row>
    <row r="51" spans="1:14" x14ac:dyDescent="0.25">
      <c r="A51" s="48" t="s">
        <v>52</v>
      </c>
      <c r="B51" s="19" t="e">
        <f>#REF!+'Base Financials - Oxford'!C48+'Base Financials - Middlesex'!C48+'Base Financials - ADSTV (2)'!C48+'Base Financials - Consol'!C48</f>
        <v>#REF!</v>
      </c>
      <c r="C51" s="19" t="e">
        <f>#REF!+'Base Financials - Oxford'!D48+'Base Financials - Middlesex'!D48+'Base Financials - ADSTV (2)'!D48+'Base Financials - Consol'!D48</f>
        <v>#REF!</v>
      </c>
      <c r="D51" s="11" t="e">
        <f>C51-B51</f>
        <v>#REF!</v>
      </c>
      <c r="F51" s="19" t="e">
        <f>#REF!+'Base Financials - Oxford'!G48+'Base Financials - Middlesex'!G48+'Base Financials - ADSTV (2)'!G48+'Base Financials - Consol'!G48</f>
        <v>#REF!</v>
      </c>
      <c r="G51" s="11" t="e">
        <f>F51-C51</f>
        <v>#REF!</v>
      </c>
      <c r="H51" s="83"/>
      <c r="I51" s="19" t="e">
        <f>#REF!+'Base Financials - Oxford'!J48+'Base Financials - Middlesex'!J48+'Base Financials - ADSTV (2)'!J48+'Base Financials - Consol'!J48</f>
        <v>#REF!</v>
      </c>
      <c r="J51" s="11" t="e">
        <f>I51-F51</f>
        <v>#REF!</v>
      </c>
      <c r="K51" s="83"/>
      <c r="L51" s="19" t="e">
        <f>#REF!+'Base Financials - Oxford'!M48+'Base Financials - Middlesex'!M48+'Base Financials - ADSTV (2)'!M48+'Base Financials - Consol'!M48</f>
        <v>#REF!</v>
      </c>
      <c r="M51" s="52" t="e">
        <f>L51-I51</f>
        <v>#REF!</v>
      </c>
    </row>
    <row r="52" spans="1:14" x14ac:dyDescent="0.25">
      <c r="A52" s="48" t="s">
        <v>53</v>
      </c>
      <c r="B52" s="19" t="e">
        <f>#REF!+'Base Financials - Oxford'!C49+'Base Financials - Middlesex'!C49+'Base Financials - ADSTV (2)'!C49+'Base Financials - Consol'!C49</f>
        <v>#REF!</v>
      </c>
      <c r="C52" s="19" t="e">
        <f>#REF!+'Base Financials - Oxford'!D49+'Base Financials - Middlesex'!D49+'Base Financials - ADSTV (2)'!D49+'Base Financials - Consol'!D49</f>
        <v>#REF!</v>
      </c>
      <c r="D52" s="11"/>
      <c r="F52" s="19" t="e">
        <f>#REF!+'Base Financials - Oxford'!G49+'Base Financials - Middlesex'!G49+'Base Financials - ADSTV (2)'!G49+'Base Financials - Consol'!G49</f>
        <v>#REF!</v>
      </c>
      <c r="G52" s="11"/>
      <c r="H52" s="83"/>
      <c r="I52" s="19" t="e">
        <f>#REF!+'Base Financials - Oxford'!J49+'Base Financials - Middlesex'!J49+'Base Financials - ADSTV (2)'!J49+'Base Financials - Consol'!J49</f>
        <v>#REF!</v>
      </c>
      <c r="J52" s="11"/>
      <c r="K52" s="83"/>
      <c r="L52" s="19" t="e">
        <f>#REF!+'Base Financials - Oxford'!M49+'Base Financials - Middlesex'!M49+'Base Financials - ADSTV (2)'!M49+'Base Financials - Consol'!M49</f>
        <v>#REF!</v>
      </c>
      <c r="M52" s="52"/>
    </row>
    <row r="53" spans="1:14" x14ac:dyDescent="0.25">
      <c r="A53" s="60" t="s">
        <v>54</v>
      </c>
      <c r="B53" s="19" t="e">
        <f>#REF!+'Base Financials - Oxford'!C50+'Base Financials - Middlesex'!C50+'Base Financials - ADSTV (2)'!C50+'Base Financials - Consol'!C50</f>
        <v>#REF!</v>
      </c>
      <c r="C53" s="19" t="e">
        <f>#REF!+'Base Financials - Oxford'!D50+'Base Financials - Middlesex'!D50+'Base Financials - ADSTV (2)'!D50+'Base Financials - Consol'!D50</f>
        <v>#REF!</v>
      </c>
      <c r="D53" s="11" t="e">
        <f>C53-B53</f>
        <v>#REF!</v>
      </c>
      <c r="F53" s="19" t="e">
        <f>#REF!+'Base Financials - Oxford'!G50+'Base Financials - Middlesex'!G50+'Base Financials - ADSTV (2)'!G50+'Base Financials - Consol'!G50</f>
        <v>#REF!</v>
      </c>
      <c r="G53" s="83" t="e">
        <f>F53-C53</f>
        <v>#REF!</v>
      </c>
      <c r="H53" s="83"/>
      <c r="I53" s="19" t="e">
        <f>#REF!+'Base Financials - Oxford'!J50+'Base Financials - Middlesex'!J50+'Base Financials - ADSTV (2)'!J50+'Base Financials - Consol'!J50</f>
        <v>#REF!</v>
      </c>
      <c r="J53" s="11" t="e">
        <f>I53-F53</f>
        <v>#REF!</v>
      </c>
      <c r="K53" s="83"/>
      <c r="L53" s="19" t="e">
        <f>#REF!+'Base Financials - Oxford'!M50+'Base Financials - Middlesex'!M50+'Base Financials - ADSTV (2)'!M50+'Base Financials - Consol'!M50</f>
        <v>#REF!</v>
      </c>
      <c r="M53" s="52" t="e">
        <f>L53-I53</f>
        <v>#REF!</v>
      </c>
    </row>
    <row r="54" spans="1:14" x14ac:dyDescent="0.25">
      <c r="A54" s="60" t="s">
        <v>55</v>
      </c>
      <c r="B54" s="19" t="e">
        <f>#REF!+'Base Financials - Oxford'!C51+'Base Financials - Middlesex'!C51+'Base Financials - ADSTV (2)'!C51+'Base Financials - Consol'!C51</f>
        <v>#REF!</v>
      </c>
      <c r="C54" s="19" t="e">
        <f>#REF!+'Base Financials - Oxford'!D51+'Base Financials - Middlesex'!D51+'Base Financials - ADSTV (2)'!D51+'Base Financials - Consol'!D51</f>
        <v>#REF!</v>
      </c>
      <c r="D54" s="11" t="e">
        <f>C54-B54</f>
        <v>#REF!</v>
      </c>
      <c r="F54" s="19" t="e">
        <f>#REF!+'Base Financials - Oxford'!G51+'Base Financials - Middlesex'!G51+'Base Financials - ADSTV (2)'!G51+'Base Financials - Consol'!G51</f>
        <v>#REF!</v>
      </c>
      <c r="G54" s="11" t="e">
        <f>F54-C54</f>
        <v>#REF!</v>
      </c>
      <c r="H54" s="83"/>
      <c r="I54" s="19" t="e">
        <f>#REF!+'Base Financials - Oxford'!J51+'Base Financials - Middlesex'!J51+'Base Financials - ADSTV (2)'!J51+'Base Financials - Consol'!J51</f>
        <v>#REF!</v>
      </c>
      <c r="J54" s="11" t="e">
        <f>I54-F54</f>
        <v>#REF!</v>
      </c>
      <c r="K54" s="83"/>
      <c r="L54" s="19" t="e">
        <f>#REF!+'Base Financials - Oxford'!M51+'Base Financials - Middlesex'!M51+'Base Financials - ADSTV (2)'!M51+'Base Financials - Consol'!M51</f>
        <v>#REF!</v>
      </c>
      <c r="M54" s="52" t="e">
        <f>L54-I54</f>
        <v>#REF!</v>
      </c>
    </row>
    <row r="55" spans="1:14" x14ac:dyDescent="0.25">
      <c r="A55" s="48" t="s">
        <v>56</v>
      </c>
      <c r="B55" s="19" t="e">
        <f>#REF!+'Base Financials - Oxford'!C52+'Base Financials - Middlesex'!C52+'Base Financials - ADSTV (2)'!C52+'Base Financials - Consol'!C52</f>
        <v>#REF!</v>
      </c>
      <c r="C55" s="19" t="e">
        <f>#REF!+'Base Financials - Oxford'!D52+'Base Financials - Middlesex'!D52+'Base Financials - ADSTV (2)'!D52+'Base Financials - Consol'!D52</f>
        <v>#REF!</v>
      </c>
      <c r="F55" s="19" t="e">
        <f>#REF!+'Base Financials - Oxford'!G52+'Base Financials - Middlesex'!G52+'Base Financials - ADSTV (2)'!G52+'Base Financials - Consol'!G52</f>
        <v>#REF!</v>
      </c>
      <c r="G55" s="83"/>
      <c r="H55" s="83"/>
      <c r="I55" s="19" t="e">
        <f>#REF!+'Base Financials - Oxford'!J52+'Base Financials - Middlesex'!J52+'Base Financials - ADSTV (2)'!J52+'Base Financials - Consol'!J52</f>
        <v>#REF!</v>
      </c>
      <c r="J55" s="11" t="e">
        <f>I55-F55</f>
        <v>#REF!</v>
      </c>
      <c r="K55" s="83"/>
      <c r="L55" s="19" t="e">
        <f>#REF!+'Base Financials - Oxford'!M52+'Base Financials - Middlesex'!M52+'Base Financials - ADSTV (2)'!M52+'Base Financials - Consol'!M52</f>
        <v>#REF!</v>
      </c>
      <c r="M55" s="52" t="e">
        <f>L55-I55</f>
        <v>#REF!</v>
      </c>
    </row>
    <row r="56" spans="1:14" s="74" customFormat="1" x14ac:dyDescent="0.25">
      <c r="A56" s="21" t="s">
        <v>57</v>
      </c>
      <c r="B56" s="22" t="e">
        <f t="shared" ref="B56:N56" si="3">SUM(B46:B55)</f>
        <v>#REF!</v>
      </c>
      <c r="C56" s="22" t="e">
        <f t="shared" si="3"/>
        <v>#REF!</v>
      </c>
      <c r="D56" s="22" t="e">
        <f t="shared" si="3"/>
        <v>#REF!</v>
      </c>
      <c r="E56" s="22">
        <f t="shared" si="3"/>
        <v>0</v>
      </c>
      <c r="F56" s="22" t="e">
        <f t="shared" si="3"/>
        <v>#REF!</v>
      </c>
      <c r="G56" s="22" t="e">
        <f t="shared" si="3"/>
        <v>#REF!</v>
      </c>
      <c r="H56" s="22">
        <f t="shared" si="3"/>
        <v>0</v>
      </c>
      <c r="I56" s="22" t="e">
        <f t="shared" si="3"/>
        <v>#REF!</v>
      </c>
      <c r="J56" s="22" t="e">
        <f t="shared" si="3"/>
        <v>#REF!</v>
      </c>
      <c r="K56" s="22">
        <f t="shared" si="3"/>
        <v>0</v>
      </c>
      <c r="L56" s="22" t="e">
        <f t="shared" si="3"/>
        <v>#REF!</v>
      </c>
      <c r="M56" s="22" t="e">
        <f t="shared" si="3"/>
        <v>#REF!</v>
      </c>
      <c r="N56" s="22">
        <f t="shared" si="3"/>
        <v>0</v>
      </c>
    </row>
    <row r="57" spans="1:14" x14ac:dyDescent="0.25">
      <c r="A57" s="9"/>
      <c r="B57" s="168" t="e">
        <f>#REF!+'Base Financials - Oxford'!C53+'Base Financials - Middlesex'!C53+'Base Financials - ADSTV (2)'!C53+'Base Financials - Consol'!C53-B56</f>
        <v>#REF!</v>
      </c>
      <c r="C57" s="168" t="e">
        <f>#REF!+'Base Financials - Oxford'!D53+'Base Financials - Middlesex'!D53+'Base Financials - ADSTV (2)'!D53+'Base Financials - Consol'!D53-C56</f>
        <v>#REF!</v>
      </c>
      <c r="D57" s="180"/>
      <c r="E57" s="180"/>
      <c r="F57" s="168" t="e">
        <f>#REF!+'Base Financials - Oxford'!G53+'Base Financials - Middlesex'!G53+'Base Financials - ADSTV (2)'!G53+'Base Financials - Consol'!G53-F56</f>
        <v>#REF!</v>
      </c>
      <c r="G57" s="180"/>
      <c r="H57" s="180"/>
      <c r="I57" s="168" t="e">
        <f>#REF!+'Base Financials - Oxford'!J53+'Base Financials - Middlesex'!J53+'Base Financials - ADSTV (2)'!J53+'Base Financials - Consol'!J53-I56</f>
        <v>#REF!</v>
      </c>
      <c r="J57" s="180"/>
      <c r="K57" s="180"/>
      <c r="L57" s="168" t="e">
        <f>#REF!+'Base Financials - Oxford'!M53+'Base Financials - Middlesex'!M53+'Base Financials - ADSTV (2)'!M53+'Base Financials - Consol'!M53-L56</f>
        <v>#REF!</v>
      </c>
      <c r="M57" s="180"/>
      <c r="N57" s="180"/>
    </row>
    <row r="58" spans="1:14" ht="25.2" customHeight="1" x14ac:dyDescent="0.25">
      <c r="A58" s="9" t="s">
        <v>58</v>
      </c>
      <c r="B58" s="19"/>
      <c r="C58" s="19"/>
      <c r="F58" s="19"/>
      <c r="I58" s="19"/>
      <c r="L58" s="19"/>
    </row>
    <row r="59" spans="1:14" x14ac:dyDescent="0.25">
      <c r="A59" s="48" t="s">
        <v>59</v>
      </c>
      <c r="B59" s="19" t="e">
        <f>#REF!+'Base Financials - Oxford'!C56+'Base Financials - Middlesex'!C56+'Base Financials - ADSTV (2)'!C56+'Base Financials - Consol'!C56</f>
        <v>#REF!</v>
      </c>
      <c r="C59" s="19" t="e">
        <f>#REF!+'Base Financials - Oxford'!D56+'Base Financials - Middlesex'!D56+'Base Financials - ADSTV (2)'!D56+'Base Financials - Consol'!D56</f>
        <v>#REF!</v>
      </c>
      <c r="D59" s="11" t="e">
        <f>C59-B59</f>
        <v>#REF!</v>
      </c>
      <c r="F59" s="19" t="e">
        <f>#REF!+'Base Financials - Oxford'!G56+'Base Financials - Middlesex'!G56+'Base Financials - ADSTV (2)'!G56+'Base Financials - Consol'!G56</f>
        <v>#REF!</v>
      </c>
      <c r="G59" s="11" t="e">
        <f>F59-C59</f>
        <v>#REF!</v>
      </c>
      <c r="I59" s="19" t="e">
        <f>#REF!+'Base Financials - Oxford'!J56+'Base Financials - Middlesex'!J56+'Base Financials - ADSTV (2)'!J56+'Base Financials - Consol'!J56</f>
        <v>#REF!</v>
      </c>
      <c r="J59" s="11" t="e">
        <f>I59-F59</f>
        <v>#REF!</v>
      </c>
      <c r="L59" s="19" t="e">
        <f>#REF!+'Base Financials - Oxford'!M56+'Base Financials - Middlesex'!M56+'Base Financials - ADSTV (2)'!M56+'Base Financials - Consol'!M56</f>
        <v>#REF!</v>
      </c>
      <c r="M59" s="52" t="e">
        <f>L59-I59</f>
        <v>#REF!</v>
      </c>
    </row>
    <row r="60" spans="1:14" x14ac:dyDescent="0.25">
      <c r="A60" s="48" t="s">
        <v>60</v>
      </c>
      <c r="B60" s="19" t="e">
        <f>#REF!+'Base Financials - Oxford'!C57+'Base Financials - Middlesex'!C57+'Base Financials - ADSTV (2)'!C57+'Base Financials - Consol'!C57</f>
        <v>#REF!</v>
      </c>
      <c r="C60" s="19" t="e">
        <f>#REF!+'Base Financials - Oxford'!D57+'Base Financials - Middlesex'!D57+'Base Financials - ADSTV (2)'!D57+'Base Financials - Consol'!D57</f>
        <v>#REF!</v>
      </c>
      <c r="D60" s="11" t="e">
        <f>C60-B60</f>
        <v>#REF!</v>
      </c>
      <c r="F60" s="19" t="e">
        <f>#REF!+'Base Financials - Oxford'!G57+'Base Financials - Middlesex'!G57+'Base Financials - ADSTV (2)'!G57+'Base Financials - Consol'!G57</f>
        <v>#REF!</v>
      </c>
      <c r="G60" s="11" t="e">
        <f>F60-C60</f>
        <v>#REF!</v>
      </c>
      <c r="H60" s="88"/>
      <c r="I60" s="19" t="e">
        <f>#REF!+'Base Financials - Oxford'!J57+'Base Financials - Middlesex'!J57+'Base Financials - ADSTV (2)'!J57+'Base Financials - Consol'!J57</f>
        <v>#REF!</v>
      </c>
      <c r="J60" s="11" t="e">
        <f>I60-F60</f>
        <v>#REF!</v>
      </c>
      <c r="K60" s="88"/>
      <c r="L60" s="19" t="e">
        <f>#REF!+'Base Financials - Oxford'!M57+'Base Financials - Middlesex'!M57+'Base Financials - ADSTV (2)'!M57+'Base Financials - Consol'!M57</f>
        <v>#REF!</v>
      </c>
      <c r="M60" s="52" t="e">
        <f>L60-I60</f>
        <v>#REF!</v>
      </c>
    </row>
    <row r="61" spans="1:14" x14ac:dyDescent="0.25">
      <c r="A61" s="48" t="s">
        <v>61</v>
      </c>
      <c r="B61" s="19" t="e">
        <f>#REF!+'Base Financials - Oxford'!C58+'Base Financials - Middlesex'!C58+'Base Financials - ADSTV (2)'!C58+'Base Financials - Consol'!C58</f>
        <v>#REF!</v>
      </c>
      <c r="C61" s="19" t="e">
        <f>#REF!+'Base Financials - Oxford'!D58+'Base Financials - Middlesex'!D58+'Base Financials - ADSTV (2)'!D58+'Base Financials - Consol'!D58</f>
        <v>#REF!</v>
      </c>
      <c r="D61" s="11" t="e">
        <f>C61-B61</f>
        <v>#REF!</v>
      </c>
      <c r="F61" s="19" t="e">
        <f>#REF!+'Base Financials - Oxford'!G58+'Base Financials - Middlesex'!G58+'Base Financials - ADSTV (2)'!G58+'Base Financials - Consol'!G58</f>
        <v>#REF!</v>
      </c>
      <c r="G61" s="11" t="e">
        <f>F61-C61</f>
        <v>#REF!</v>
      </c>
      <c r="I61" s="19" t="e">
        <f>#REF!+'Base Financials - Oxford'!J58+'Base Financials - Middlesex'!J58+'Base Financials - ADSTV (2)'!J58+'Base Financials - Consol'!J58</f>
        <v>#REF!</v>
      </c>
      <c r="J61" s="11" t="e">
        <f>I61-F61</f>
        <v>#REF!</v>
      </c>
      <c r="L61" s="19" t="e">
        <f>#REF!+'Base Financials - Oxford'!M58+'Base Financials - Middlesex'!M58+'Base Financials - ADSTV (2)'!M58+'Base Financials - Consol'!M58</f>
        <v>#REF!</v>
      </c>
      <c r="M61" s="52" t="e">
        <f>L61-I61</f>
        <v>#REF!</v>
      </c>
    </row>
    <row r="62" spans="1:14" x14ac:dyDescent="0.25">
      <c r="A62" s="48" t="s">
        <v>62</v>
      </c>
      <c r="B62" s="19" t="e">
        <f>#REF!+'Base Financials - Oxford'!C59+'Base Financials - Middlesex'!C59+'Base Financials - ADSTV (2)'!C59+'Base Financials - Consol'!C59</f>
        <v>#REF!</v>
      </c>
      <c r="C62" s="19" t="e">
        <f>#REF!+'Base Financials - Oxford'!D59+'Base Financials - Middlesex'!D59+'Base Financials - ADSTV (2)'!D59+'Base Financials - Consol'!D59</f>
        <v>#REF!</v>
      </c>
      <c r="D62" s="11" t="e">
        <f>C62-B62</f>
        <v>#REF!</v>
      </c>
      <c r="E62" s="8" t="s">
        <v>165</v>
      </c>
      <c r="F62" s="19" t="e">
        <f>#REF!+'Base Financials - Oxford'!G59+'Base Financials - Middlesex'!G59+'Base Financials - ADSTV (2)'!G59+'Base Financials - Consol'!G59</f>
        <v>#REF!</v>
      </c>
      <c r="G62" s="11" t="e">
        <f>F62-C62</f>
        <v>#REF!</v>
      </c>
      <c r="I62" s="19" t="e">
        <f>#REF!+'Base Financials - Oxford'!J59+'Base Financials - Middlesex'!J59+'Base Financials - ADSTV (2)'!J59+'Base Financials - Consol'!J59</f>
        <v>#REF!</v>
      </c>
      <c r="J62" s="11" t="e">
        <f>I62-F62</f>
        <v>#REF!</v>
      </c>
      <c r="L62" s="19" t="e">
        <f>#REF!+'Base Financials - Oxford'!M59+'Base Financials - Middlesex'!M59+'Base Financials - ADSTV (2)'!M59+'Base Financials - Consol'!M59</f>
        <v>#REF!</v>
      </c>
      <c r="M62" s="52" t="e">
        <f>L62-I62</f>
        <v>#REF!</v>
      </c>
    </row>
    <row r="63" spans="1:14" x14ac:dyDescent="0.25">
      <c r="A63" s="48" t="s">
        <v>63</v>
      </c>
      <c r="B63" s="19" t="e">
        <f>#REF!+'Base Financials - Oxford'!C60+'Base Financials - Middlesex'!C60+'Base Financials - ADSTV (2)'!C60+'Base Financials - Consol'!C60</f>
        <v>#REF!</v>
      </c>
      <c r="C63" s="19" t="e">
        <f>#REF!+'Base Financials - Oxford'!D60+'Base Financials - Middlesex'!D60+'Base Financials - ADSTV (2)'!D60+'Base Financials - Consol'!D60</f>
        <v>#REF!</v>
      </c>
      <c r="D63" s="11"/>
      <c r="F63" s="19" t="e">
        <f>#REF!+'Base Financials - Oxford'!G60+'Base Financials - Middlesex'!G60+'Base Financials - ADSTV (2)'!G60+'Base Financials - Consol'!G60</f>
        <v>#REF!</v>
      </c>
      <c r="G63" s="11"/>
      <c r="I63" s="19" t="e">
        <f>#REF!+'Base Financials - Oxford'!J60+'Base Financials - Middlesex'!J60+'Base Financials - ADSTV (2)'!J60+'Base Financials - Consol'!J60</f>
        <v>#REF!</v>
      </c>
      <c r="J63" s="11"/>
      <c r="L63" s="19" t="e">
        <f>#REF!+'Base Financials - Oxford'!M60+'Base Financials - Middlesex'!M60+'Base Financials - ADSTV (2)'!M60+'Base Financials - Consol'!M60</f>
        <v>#REF!</v>
      </c>
      <c r="M63" s="52"/>
    </row>
    <row r="64" spans="1:14" s="74" customFormat="1" x14ac:dyDescent="0.25">
      <c r="A64" s="21" t="s">
        <v>64</v>
      </c>
      <c r="B64" s="22" t="e">
        <f>SUM(B59:B63)</f>
        <v>#REF!</v>
      </c>
      <c r="C64" s="22" t="e">
        <f>SUM(C59:C63)</f>
        <v>#REF!</v>
      </c>
      <c r="D64" s="22" t="e">
        <f t="shared" ref="D64:N64" si="4">SUM(D59:D62)</f>
        <v>#REF!</v>
      </c>
      <c r="E64" s="22">
        <f t="shared" si="4"/>
        <v>0</v>
      </c>
      <c r="F64" s="22" t="e">
        <f>SUM(F59:F63)</f>
        <v>#REF!</v>
      </c>
      <c r="G64" s="22" t="e">
        <f t="shared" si="4"/>
        <v>#REF!</v>
      </c>
      <c r="H64" s="22">
        <f t="shared" si="4"/>
        <v>0</v>
      </c>
      <c r="I64" s="22" t="e">
        <f>SUM(I59:I63)</f>
        <v>#REF!</v>
      </c>
      <c r="J64" s="22" t="e">
        <f t="shared" si="4"/>
        <v>#REF!</v>
      </c>
      <c r="K64" s="22">
        <f t="shared" si="4"/>
        <v>0</v>
      </c>
      <c r="L64" s="22" t="e">
        <f>SUM(L59:L63)</f>
        <v>#REF!</v>
      </c>
      <c r="M64" s="22" t="e">
        <f t="shared" si="4"/>
        <v>#REF!</v>
      </c>
      <c r="N64" s="22">
        <f t="shared" si="4"/>
        <v>0</v>
      </c>
    </row>
    <row r="65" spans="1:15" x14ac:dyDescent="0.25">
      <c r="A65" s="9"/>
      <c r="B65" s="168" t="e">
        <f>#REF!+'Base Financials - Oxford'!C61+'Base Financials - Middlesex'!C61+'Base Financials - ADSTV (2)'!C61+'Base Financials - Consol'!C61-B64</f>
        <v>#REF!</v>
      </c>
      <c r="C65" s="168" t="e">
        <f>#REF!+'Base Financials - Oxford'!D61+'Base Financials - Middlesex'!D61+'Base Financials - ADSTV (2)'!D61+'Base Financials - Consol'!D61-C64</f>
        <v>#REF!</v>
      </c>
      <c r="D65" s="180"/>
      <c r="E65" s="180"/>
      <c r="F65" s="168" t="e">
        <f>#REF!+'Base Financials - Oxford'!G61+'Base Financials - Middlesex'!G61+'Base Financials - ADSTV (2)'!G61+'Base Financials - Consol'!G61-F64</f>
        <v>#REF!</v>
      </c>
      <c r="G65" s="180"/>
      <c r="H65" s="180"/>
      <c r="I65" s="168" t="e">
        <f>#REF!+'Base Financials - Oxford'!J61+'Base Financials - Middlesex'!J61+'Base Financials - ADSTV (2)'!J61+'Base Financials - Consol'!J61-I64</f>
        <v>#REF!</v>
      </c>
      <c r="J65" s="180"/>
      <c r="K65" s="180"/>
      <c r="L65" s="168" t="e">
        <f>#REF!+'Base Financials - Oxford'!M61+'Base Financials - Middlesex'!M61+'Base Financials - ADSTV (2)'!M61+'Base Financials - Consol'!M61-L64</f>
        <v>#REF!</v>
      </c>
      <c r="M65" s="180"/>
      <c r="N65" s="180"/>
    </row>
    <row r="66" spans="1:15" x14ac:dyDescent="0.25">
      <c r="A66" s="9"/>
      <c r="B66" s="140"/>
      <c r="C66" s="140"/>
      <c r="F66" s="140"/>
      <c r="I66" s="140"/>
      <c r="L66" s="140"/>
    </row>
    <row r="67" spans="1:15" x14ac:dyDescent="0.25">
      <c r="A67" s="48" t="s">
        <v>206</v>
      </c>
      <c r="B67" s="19" t="e">
        <f>#REF!+'Base Financials - Oxford'!C63+'Base Financials - Middlesex'!C63+'Base Financials - ADSTV (2)'!C63+'Base Financials - Consol'!C63</f>
        <v>#REF!</v>
      </c>
      <c r="C67" s="19" t="e">
        <f>#REF!+'Base Financials - Oxford'!D63+'Base Financials - Middlesex'!D63+'Base Financials - ADSTV (2)'!D63+'Base Financials - Consol'!D63</f>
        <v>#REF!</v>
      </c>
      <c r="D67" s="11" t="e">
        <f>C67-B67</f>
        <v>#REF!</v>
      </c>
      <c r="F67" s="19" t="e">
        <f>#REF!+'Base Financials - Oxford'!G63+'Base Financials - Middlesex'!G63+'Base Financials - ADSTV (2)'!G63+'Base Financials - Consol'!G63</f>
        <v>#REF!</v>
      </c>
      <c r="G67" s="11" t="e">
        <f>F67-C67</f>
        <v>#REF!</v>
      </c>
      <c r="I67" s="19" t="e">
        <f>#REF!+'Base Financials - Oxford'!J63+'Base Financials - Middlesex'!J63+'Base Financials - ADSTV (2)'!J63+'Base Financials - Consol'!J63</f>
        <v>#REF!</v>
      </c>
      <c r="L67" s="19" t="e">
        <f>#REF!+'Base Financials - Oxford'!M63+'Base Financials - Middlesex'!M63+'Base Financials - ADSTV (2)'!M63+'Base Financials - Consol'!M63</f>
        <v>#REF!</v>
      </c>
    </row>
    <row r="68" spans="1:15" x14ac:dyDescent="0.25">
      <c r="A68" s="48" t="s">
        <v>207</v>
      </c>
      <c r="B68" s="19" t="e">
        <f>#REF!+'Base Financials - Oxford'!C64+'Base Financials - Middlesex'!C64+'Base Financials - ADSTV (2)'!C64+'Base Financials - Consol'!C64</f>
        <v>#REF!</v>
      </c>
      <c r="C68" s="19" t="e">
        <f>#REF!+'Base Financials - Oxford'!D64+'Base Financials - Middlesex'!D64+'Base Financials - ADSTV (2)'!D64+'Base Financials - Consol'!D64</f>
        <v>#REF!</v>
      </c>
      <c r="D68" s="11" t="e">
        <f>C68-B68</f>
        <v>#REF!</v>
      </c>
      <c r="F68" s="19" t="e">
        <f>#REF!+'Base Financials - Oxford'!G64+'Base Financials - Middlesex'!G64+'Base Financials - ADSTV (2)'!G64+'Base Financials - Consol'!G64</f>
        <v>#REF!</v>
      </c>
      <c r="G68" s="11" t="e">
        <f>F68-C68</f>
        <v>#REF!</v>
      </c>
      <c r="I68" s="19" t="e">
        <f>#REF!+'Base Financials - Oxford'!J64+'Base Financials - Middlesex'!J64+'Base Financials - ADSTV (2)'!J64+'Base Financials - Consol'!J64</f>
        <v>#REF!</v>
      </c>
      <c r="L68" s="19" t="e">
        <f>#REF!+'Base Financials - Oxford'!M64+'Base Financials - Middlesex'!M64+'Base Financials - ADSTV (2)'!M64+'Base Financials - Consol'!M64</f>
        <v>#REF!</v>
      </c>
    </row>
    <row r="69" spans="1:15" x14ac:dyDescent="0.25">
      <c r="A69" s="60" t="s">
        <v>65</v>
      </c>
      <c r="B69" s="19" t="e">
        <f>#REF!+'Base Financials - Oxford'!C65+'Base Financials - Middlesex'!C65+'Base Financials - ADSTV (2)'!C65+'Base Financials - Consol'!C65</f>
        <v>#REF!</v>
      </c>
      <c r="C69" s="19" t="e">
        <f>#REF!+'Base Financials - Oxford'!D65+'Base Financials - Middlesex'!D65+'Base Financials - ADSTV (2)'!D65+'Base Financials - Consol'!D65</f>
        <v>#REF!</v>
      </c>
      <c r="D69" s="11" t="e">
        <f>C69-B69</f>
        <v>#REF!</v>
      </c>
      <c r="F69" s="19" t="e">
        <f>#REF!+'Base Financials - Oxford'!G65+'Base Financials - Middlesex'!G65+'Base Financials - ADSTV (2)'!G65+'Base Financials - Consol'!G65</f>
        <v>#REF!</v>
      </c>
      <c r="I69" s="19" t="e">
        <f>#REF!+'Base Financials - Oxford'!J65+'Base Financials - Middlesex'!J65+'Base Financials - ADSTV (2)'!J65+'Base Financials - Consol'!J65</f>
        <v>#REF!</v>
      </c>
      <c r="L69" s="19" t="e">
        <f>#REF!+'Base Financials - Oxford'!M65+'Base Financials - Middlesex'!M65+'Base Financials - ADSTV (2)'!M65+'Base Financials - Consol'!M65</f>
        <v>#REF!</v>
      </c>
    </row>
    <row r="70" spans="1:15" x14ac:dyDescent="0.25">
      <c r="A70" s="60" t="s">
        <v>2649</v>
      </c>
      <c r="B70" s="19" t="e">
        <f>#REF!+'Base Financials - Oxford'!C66+'Base Financials - Middlesex'!C66+'Base Financials - ADSTV (2)'!C66+'Base Financials - Consol'!C66</f>
        <v>#REF!</v>
      </c>
      <c r="C70" s="19" t="e">
        <f>#REF!+'Base Financials - Oxford'!D66+'Base Financials - Middlesex'!D66+'Base Financials - ADSTV (2)'!D66+'Base Financials - Consol'!D66</f>
        <v>#REF!</v>
      </c>
      <c r="F70" s="19" t="e">
        <f>#REF!+'Base Financials - Oxford'!G66+'Base Financials - Middlesex'!G66+'Base Financials - ADSTV (2)'!G66+'Base Financials - Consol'!G66</f>
        <v>#REF!</v>
      </c>
      <c r="I70" s="19" t="e">
        <f>#REF!+'Base Financials - Oxford'!J66+'Base Financials - Middlesex'!J66+'Base Financials - ADSTV (2)'!J66+'Base Financials - Consol'!J66</f>
        <v>#REF!</v>
      </c>
      <c r="L70" s="19" t="e">
        <f>#REF!+'Base Financials - Oxford'!M66+'Base Financials - Middlesex'!M66+'Base Financials - ADSTV (2)'!M66+'Base Financials - Consol'!M66</f>
        <v>#REF!</v>
      </c>
    </row>
    <row r="71" spans="1:15" s="74" customFormat="1" x14ac:dyDescent="0.25">
      <c r="A71" s="21" t="s">
        <v>67</v>
      </c>
      <c r="B71" s="22" t="e">
        <f>SUM(B67:B70)+B64+B56+B43+B38</f>
        <v>#REF!</v>
      </c>
      <c r="C71" s="22" t="e">
        <f>SUM(C67:C70)+C64+C56+C43+C38</f>
        <v>#REF!</v>
      </c>
      <c r="D71" s="22" t="e">
        <f>+D64+D56+D43+D38</f>
        <v>#REF!</v>
      </c>
      <c r="E71" s="22">
        <f>+E64+E56+E43+E38</f>
        <v>0</v>
      </c>
      <c r="F71" s="22" t="e">
        <f>SUM(F67:F70)+F64+F56+F43+F38</f>
        <v>#REF!</v>
      </c>
      <c r="G71" s="22" t="e">
        <f>+G64+G56+G43+G38</f>
        <v>#REF!</v>
      </c>
      <c r="H71" s="22">
        <f>+H64+H56+H43+H38</f>
        <v>0</v>
      </c>
      <c r="I71" s="22" t="e">
        <f>SUM(I67:I70)+I64+I56+I43+I38</f>
        <v>#REF!</v>
      </c>
      <c r="J71" s="22" t="e">
        <f>+J64+J56+J43+J38</f>
        <v>#REF!</v>
      </c>
      <c r="K71" s="22">
        <f>+K64+K56+K43+K38</f>
        <v>0</v>
      </c>
      <c r="L71" s="22" t="e">
        <f>SUM(L67:L70)+L64+L56+L43+L38</f>
        <v>#REF!</v>
      </c>
      <c r="M71" s="22" t="e">
        <f>+M64+M56+M43+M38</f>
        <v>#REF!</v>
      </c>
      <c r="N71" s="22">
        <f>+N64+N56+N43+N38</f>
        <v>0</v>
      </c>
    </row>
    <row r="72" spans="1:15" x14ac:dyDescent="0.25">
      <c r="A72" s="9"/>
      <c r="B72" s="168" t="e">
        <f>#REF!+'Base Financials - Oxford'!C67+'Base Financials - Middlesex'!C67+'Base Financials - ADSTV (2)'!C67+'Base Financials - Consol'!C67-B71</f>
        <v>#REF!</v>
      </c>
      <c r="C72" s="168" t="e">
        <f>#REF!+'Base Financials - Oxford'!D67+'Base Financials - Middlesex'!D67+'Base Financials - ADSTV (2)'!D67+'Base Financials - Consol'!D67-C71</f>
        <v>#REF!</v>
      </c>
      <c r="D72" s="180"/>
      <c r="E72" s="180"/>
      <c r="F72" s="168" t="e">
        <f>#REF!+'Base Financials - Oxford'!G67+'Base Financials - Middlesex'!G67+'Base Financials - ADSTV (2)'!G67+'Base Financials - Consol'!G67-F71</f>
        <v>#REF!</v>
      </c>
      <c r="G72" s="180"/>
      <c r="H72" s="180"/>
      <c r="I72" s="168" t="e">
        <f>#REF!+'Base Financials - Oxford'!J67+'Base Financials - Middlesex'!J67+'Base Financials - ADSTV (2)'!J67+'Base Financials - Consol'!J67-I71</f>
        <v>#REF!</v>
      </c>
      <c r="J72" s="180"/>
      <c r="K72" s="180"/>
      <c r="L72" s="168" t="e">
        <f>#REF!+'Base Financials - Oxford'!M67+'Base Financials - Middlesex'!M67+'Base Financials - ADSTV (2)'!M67+'Base Financials - Consol'!M67-L71</f>
        <v>#REF!</v>
      </c>
      <c r="M72" s="180"/>
      <c r="N72" s="180"/>
    </row>
    <row r="73" spans="1:15" x14ac:dyDescent="0.25">
      <c r="A73" s="9"/>
      <c r="B73" s="19"/>
      <c r="C73" s="19"/>
      <c r="F73" s="19"/>
      <c r="I73" s="19"/>
      <c r="L73" s="19"/>
    </row>
    <row r="74" spans="1:15" ht="33" customHeight="1" x14ac:dyDescent="0.25">
      <c r="A74" s="26" t="s">
        <v>68</v>
      </c>
      <c r="B74" s="19" t="e">
        <f>+B26-B71</f>
        <v>#REF!</v>
      </c>
      <c r="C74" s="19" t="e">
        <f>+C26-C71</f>
        <v>#REF!</v>
      </c>
      <c r="D74" s="19"/>
      <c r="F74" s="19" t="e">
        <f>+F26-F71</f>
        <v>#REF!</v>
      </c>
      <c r="G74" s="11"/>
      <c r="I74" s="19" t="e">
        <f>+I26-I71</f>
        <v>#REF!</v>
      </c>
      <c r="L74" s="19" t="e">
        <f>+L26-L71</f>
        <v>#REF!</v>
      </c>
      <c r="O74" s="149"/>
    </row>
    <row r="75" spans="1:15" ht="25.2" customHeight="1" x14ac:dyDescent="0.25">
      <c r="A75" s="27" t="s">
        <v>69</v>
      </c>
      <c r="B75" s="18"/>
    </row>
    <row r="76" spans="1:15" x14ac:dyDescent="0.25">
      <c r="A76" s="13" t="s">
        <v>70</v>
      </c>
      <c r="B76" s="18"/>
      <c r="C76" s="11"/>
    </row>
    <row r="77" spans="1:15" x14ac:dyDescent="0.25">
      <c r="A77" s="13" t="s">
        <v>71</v>
      </c>
      <c r="B77" s="19"/>
      <c r="C77" s="11"/>
    </row>
    <row r="78" spans="1:15" x14ac:dyDescent="0.25">
      <c r="A78" s="13" t="s">
        <v>72</v>
      </c>
      <c r="B78" s="19"/>
      <c r="C78" s="11"/>
    </row>
    <row r="79" spans="1:15" x14ac:dyDescent="0.25">
      <c r="A79" s="13" t="s">
        <v>73</v>
      </c>
      <c r="B79" s="18"/>
      <c r="C79" s="11"/>
    </row>
    <row r="80" spans="1:15" x14ac:dyDescent="0.25">
      <c r="A80" s="13" t="s">
        <v>73</v>
      </c>
      <c r="B80" s="19"/>
    </row>
    <row r="81" spans="1:14" x14ac:dyDescent="0.25">
      <c r="A81" s="13" t="s">
        <v>73</v>
      </c>
      <c r="B81" s="18"/>
    </row>
    <row r="82" spans="1:14" s="23" customFormat="1" ht="25.2" customHeight="1" x14ac:dyDescent="0.25">
      <c r="A82" s="28" t="s">
        <v>74</v>
      </c>
      <c r="B82" s="89" t="e">
        <f>SUM(B74:B81)</f>
        <v>#REF!</v>
      </c>
      <c r="C82" s="89" t="e">
        <f t="shared" ref="C82:N82" si="5">SUM(C74:C81)</f>
        <v>#REF!</v>
      </c>
      <c r="D82" s="89">
        <f t="shared" si="5"/>
        <v>0</v>
      </c>
      <c r="E82" s="89">
        <f t="shared" si="5"/>
        <v>0</v>
      </c>
      <c r="F82" s="89" t="e">
        <f t="shared" si="5"/>
        <v>#REF!</v>
      </c>
      <c r="G82" s="89">
        <f t="shared" si="5"/>
        <v>0</v>
      </c>
      <c r="H82" s="89">
        <f t="shared" si="5"/>
        <v>0</v>
      </c>
      <c r="I82" s="89" t="e">
        <f t="shared" si="5"/>
        <v>#REF!</v>
      </c>
      <c r="J82" s="89">
        <f t="shared" si="5"/>
        <v>0</v>
      </c>
      <c r="K82" s="89">
        <f t="shared" si="5"/>
        <v>0</v>
      </c>
      <c r="L82" s="89" t="e">
        <f t="shared" si="5"/>
        <v>#REF!</v>
      </c>
      <c r="M82" s="89">
        <f t="shared" si="5"/>
        <v>0</v>
      </c>
      <c r="N82" s="89">
        <f t="shared" si="5"/>
        <v>0</v>
      </c>
    </row>
    <row r="83" spans="1:14" x14ac:dyDescent="0.25">
      <c r="A83" s="13" t="s">
        <v>75</v>
      </c>
    </row>
    <row r="84" spans="1:14" s="16" customFormat="1" ht="45.75" customHeight="1" thickBot="1" x14ac:dyDescent="0.3">
      <c r="A84" s="30" t="s">
        <v>76</v>
      </c>
      <c r="B84" s="90" t="e">
        <f>SUM(B82:B83)</f>
        <v>#REF!</v>
      </c>
      <c r="C84" s="90" t="e">
        <f t="shared" ref="C84:N84" si="6">SUM(C82:C83)</f>
        <v>#REF!</v>
      </c>
      <c r="D84" s="90">
        <f t="shared" si="6"/>
        <v>0</v>
      </c>
      <c r="E84" s="90">
        <f t="shared" si="6"/>
        <v>0</v>
      </c>
      <c r="F84" s="90" t="e">
        <f t="shared" si="6"/>
        <v>#REF!</v>
      </c>
      <c r="G84" s="90">
        <f t="shared" si="6"/>
        <v>0</v>
      </c>
      <c r="H84" s="90">
        <f t="shared" si="6"/>
        <v>0</v>
      </c>
      <c r="I84" s="90" t="e">
        <f t="shared" si="6"/>
        <v>#REF!</v>
      </c>
      <c r="J84" s="90">
        <f t="shared" si="6"/>
        <v>0</v>
      </c>
      <c r="K84" s="90">
        <f t="shared" si="6"/>
        <v>0</v>
      </c>
      <c r="L84" s="90" t="e">
        <f t="shared" si="6"/>
        <v>#REF!</v>
      </c>
      <c r="M84" s="90">
        <f t="shared" si="6"/>
        <v>0</v>
      </c>
      <c r="N84" s="90">
        <f t="shared" si="6"/>
        <v>0</v>
      </c>
    </row>
    <row r="85" spans="1:14" ht="14.4" thickTop="1" x14ac:dyDescent="0.25">
      <c r="B85" s="11" t="e">
        <f>B84-#REF!-'Base Financials - Oxford'!C79-'Base Financials - Middlesex'!C80-'Base Financials - ADSTV (2)'!C79-'Base Financials - Consol'!C79</f>
        <v>#REF!</v>
      </c>
      <c r="C85" s="11" t="e">
        <f>C84-#REF!-'Base Financials - Oxford'!D79-'Base Financials - Middlesex'!D80-'Base Financials - ADSTV (2)'!D79-'Base Financials - Consol'!D79</f>
        <v>#REF!</v>
      </c>
      <c r="F85" s="11" t="e">
        <f>F84-#REF!-'Base Financials - Oxford'!G79-'Base Financials - Middlesex'!G80-'Base Financials - ADSTV (2)'!G79-'Base Financials - Consol'!G79</f>
        <v>#REF!</v>
      </c>
      <c r="I85" s="11" t="e">
        <f>I84-#REF!-'Base Financials - Oxford'!J79-'Base Financials - Middlesex'!J80-'Base Financials - ADSTV (2)'!J79-'Base Financials - Consol'!J79</f>
        <v>#REF!</v>
      </c>
      <c r="L85" s="11" t="e">
        <f>L84-#REF!-'Base Financials - Oxford'!M79-'Base Financials - Middlesex'!M80-'Base Financials - ADSTV (2)'!M79-'Base Financials - Consol'!M79</f>
        <v>#REF!</v>
      </c>
    </row>
    <row r="86" spans="1:14" x14ac:dyDescent="0.25">
      <c r="A86" s="31" t="s">
        <v>77</v>
      </c>
      <c r="C86" s="11"/>
    </row>
    <row r="87" spans="1:14" x14ac:dyDescent="0.25">
      <c r="A87" s="13" t="s">
        <v>78</v>
      </c>
      <c r="C87" s="11"/>
    </row>
    <row r="88" spans="1:14" x14ac:dyDescent="0.25">
      <c r="A88" s="13" t="s">
        <v>79</v>
      </c>
      <c r="C88" s="11"/>
    </row>
    <row r="89" spans="1:14" x14ac:dyDescent="0.25">
      <c r="A89" s="13" t="s">
        <v>80</v>
      </c>
      <c r="C89" s="25"/>
    </row>
    <row r="90" spans="1:14" x14ac:dyDescent="0.25">
      <c r="B90" s="25"/>
      <c r="C90" s="11"/>
    </row>
    <row r="91" spans="1:14" x14ac:dyDescent="0.25">
      <c r="C91" s="11"/>
    </row>
    <row r="92" spans="1:14" x14ac:dyDescent="0.25">
      <c r="A92" s="31" t="s">
        <v>81</v>
      </c>
      <c r="B92" s="8"/>
    </row>
    <row r="93" spans="1:14" x14ac:dyDescent="0.25">
      <c r="B93" s="8"/>
    </row>
    <row r="94" spans="1:14" x14ac:dyDescent="0.25">
      <c r="A94" s="13" t="s">
        <v>82</v>
      </c>
      <c r="B94" s="8"/>
    </row>
    <row r="95" spans="1:14" x14ac:dyDescent="0.25">
      <c r="A95" s="13" t="s">
        <v>83</v>
      </c>
      <c r="B95" s="8"/>
    </row>
    <row r="96" spans="1:14" x14ac:dyDescent="0.25">
      <c r="A96" s="13" t="s">
        <v>43</v>
      </c>
      <c r="B96" s="8"/>
    </row>
    <row r="97" spans="1:3" x14ac:dyDescent="0.25">
      <c r="B97" s="8"/>
    </row>
    <row r="98" spans="1:3" x14ac:dyDescent="0.25">
      <c r="A98" s="13" t="s">
        <v>84</v>
      </c>
      <c r="B98" s="8"/>
    </row>
    <row r="99" spans="1:3" x14ac:dyDescent="0.25">
      <c r="A99" s="13" t="s">
        <v>85</v>
      </c>
      <c r="B99" s="8"/>
    </row>
    <row r="100" spans="1:3" x14ac:dyDescent="0.25">
      <c r="A100" s="9" t="s">
        <v>47</v>
      </c>
      <c r="B100" s="8"/>
    </row>
    <row r="101" spans="1:3" x14ac:dyDescent="0.25">
      <c r="B101" s="8"/>
    </row>
    <row r="102" spans="1:3" x14ac:dyDescent="0.25">
      <c r="A102" s="13" t="s">
        <v>86</v>
      </c>
      <c r="C102" s="11"/>
    </row>
    <row r="103" spans="1:3" x14ac:dyDescent="0.25">
      <c r="A103" s="13" t="s">
        <v>87</v>
      </c>
      <c r="C103" s="11"/>
    </row>
    <row r="104" spans="1:3" x14ac:dyDescent="0.25">
      <c r="A104" s="13" t="s">
        <v>88</v>
      </c>
      <c r="C104" s="25"/>
    </row>
    <row r="105" spans="1:3" x14ac:dyDescent="0.25">
      <c r="A105" s="13" t="s">
        <v>89</v>
      </c>
      <c r="C105" s="11"/>
    </row>
    <row r="106" spans="1:3" x14ac:dyDescent="0.25">
      <c r="A106" s="13" t="s">
        <v>90</v>
      </c>
      <c r="B106" s="25"/>
      <c r="C106" s="11"/>
    </row>
    <row r="107" spans="1:3" x14ac:dyDescent="0.25">
      <c r="C107" s="11"/>
    </row>
    <row r="108" spans="1:3" x14ac:dyDescent="0.25">
      <c r="A108" s="13" t="s">
        <v>56</v>
      </c>
      <c r="C108" s="11"/>
    </row>
    <row r="109" spans="1:3" x14ac:dyDescent="0.25">
      <c r="C109" s="11"/>
    </row>
    <row r="110" spans="1:3" x14ac:dyDescent="0.25">
      <c r="A110" s="13" t="s">
        <v>91</v>
      </c>
      <c r="B110" s="25"/>
      <c r="C110" s="25"/>
    </row>
    <row r="111" spans="1:3" x14ac:dyDescent="0.25">
      <c r="A111" s="13" t="s">
        <v>92</v>
      </c>
      <c r="C111" s="11"/>
    </row>
    <row r="112" spans="1:3" x14ac:dyDescent="0.25">
      <c r="C112" s="11"/>
    </row>
    <row r="113" spans="1:3" x14ac:dyDescent="0.25">
      <c r="A113" s="13" t="s">
        <v>62</v>
      </c>
      <c r="C113" s="11"/>
    </row>
    <row r="114" spans="1:3" x14ac:dyDescent="0.25">
      <c r="C114" s="11"/>
    </row>
    <row r="115" spans="1:3" x14ac:dyDescent="0.25">
      <c r="A115" s="13" t="s">
        <v>93</v>
      </c>
      <c r="C115" s="11"/>
    </row>
    <row r="116" spans="1:3" x14ac:dyDescent="0.25">
      <c r="A116" s="13" t="s">
        <v>94</v>
      </c>
      <c r="C116" s="25"/>
    </row>
    <row r="118" spans="1:3" x14ac:dyDescent="0.25">
      <c r="A118" s="13" t="s">
        <v>52</v>
      </c>
      <c r="B118" s="25"/>
    </row>
    <row r="120" spans="1:3" x14ac:dyDescent="0.25">
      <c r="A120" s="33" t="s">
        <v>77</v>
      </c>
    </row>
    <row r="121" spans="1:3" x14ac:dyDescent="0.25">
      <c r="A121" s="34" t="s">
        <v>95</v>
      </c>
      <c r="B121" s="8"/>
      <c r="C121" s="11"/>
    </row>
    <row r="122" spans="1:3" x14ac:dyDescent="0.25">
      <c r="A122" s="34" t="s">
        <v>96</v>
      </c>
      <c r="B122" s="8"/>
      <c r="C122" s="11"/>
    </row>
    <row r="123" spans="1:3" x14ac:dyDescent="0.25">
      <c r="A123" s="35" t="s">
        <v>27</v>
      </c>
      <c r="B123" s="8"/>
      <c r="C123" s="25"/>
    </row>
    <row r="124" spans="1:3" x14ac:dyDescent="0.25">
      <c r="A124" s="34"/>
      <c r="B124" s="8"/>
      <c r="C124" s="11"/>
    </row>
    <row r="125" spans="1:3" x14ac:dyDescent="0.25">
      <c r="A125" s="33" t="s">
        <v>97</v>
      </c>
      <c r="B125" s="8"/>
      <c r="C125" s="11"/>
    </row>
    <row r="126" spans="1:3" x14ac:dyDescent="0.25">
      <c r="A126" s="34" t="s">
        <v>98</v>
      </c>
      <c r="B126" s="8"/>
      <c r="C126" s="11"/>
    </row>
    <row r="127" spans="1:3" x14ac:dyDescent="0.25">
      <c r="A127" s="34" t="s">
        <v>88</v>
      </c>
      <c r="B127" s="8"/>
      <c r="C127" s="11"/>
    </row>
    <row r="128" spans="1:3" x14ac:dyDescent="0.25">
      <c r="A128" s="34" t="s">
        <v>86</v>
      </c>
      <c r="B128" s="8"/>
      <c r="C128" s="11"/>
    </row>
    <row r="129" spans="1:3" x14ac:dyDescent="0.25">
      <c r="A129" s="34" t="s">
        <v>99</v>
      </c>
      <c r="C129" s="11"/>
    </row>
    <row r="130" spans="1:3" x14ac:dyDescent="0.25">
      <c r="A130" s="34" t="s">
        <v>100</v>
      </c>
      <c r="C130" s="11"/>
    </row>
    <row r="131" spans="1:3" x14ac:dyDescent="0.25">
      <c r="A131" s="34" t="s">
        <v>101</v>
      </c>
      <c r="C131" s="11"/>
    </row>
    <row r="132" spans="1:3" x14ac:dyDescent="0.25">
      <c r="A132" s="34"/>
      <c r="C132" s="11"/>
    </row>
    <row r="133" spans="1:3" x14ac:dyDescent="0.25">
      <c r="A133" s="36" t="s">
        <v>102</v>
      </c>
      <c r="C133" s="25"/>
    </row>
    <row r="134" spans="1:3" x14ac:dyDescent="0.25">
      <c r="A134" s="34"/>
      <c r="C134" s="11"/>
    </row>
    <row r="135" spans="1:3" x14ac:dyDescent="0.25">
      <c r="A135" s="34" t="s">
        <v>103</v>
      </c>
      <c r="C135" s="11"/>
    </row>
    <row r="136" spans="1:3" x14ac:dyDescent="0.25">
      <c r="A136" s="34" t="s">
        <v>85</v>
      </c>
      <c r="C136" s="11"/>
    </row>
    <row r="137" spans="1:3" x14ac:dyDescent="0.25">
      <c r="A137" s="34"/>
      <c r="C137" s="11"/>
    </row>
    <row r="138" spans="1:3" x14ac:dyDescent="0.25">
      <c r="A138" s="26" t="s">
        <v>47</v>
      </c>
      <c r="C138" s="25"/>
    </row>
    <row r="139" spans="1:3" x14ac:dyDescent="0.25">
      <c r="A139" s="34"/>
      <c r="C139" s="11"/>
    </row>
    <row r="140" spans="1:3" x14ac:dyDescent="0.25">
      <c r="A140" s="34" t="s">
        <v>104</v>
      </c>
      <c r="C140" s="11"/>
    </row>
    <row r="141" spans="1:3" x14ac:dyDescent="0.25">
      <c r="A141" s="34" t="s">
        <v>105</v>
      </c>
      <c r="C141" s="11"/>
    </row>
    <row r="142" spans="1:3" x14ac:dyDescent="0.25">
      <c r="A142" s="34" t="s">
        <v>106</v>
      </c>
      <c r="C142" s="11"/>
    </row>
    <row r="143" spans="1:3" x14ac:dyDescent="0.25">
      <c r="A143" s="34"/>
      <c r="C143" s="11"/>
    </row>
    <row r="144" spans="1:3" x14ac:dyDescent="0.25">
      <c r="A144" s="26" t="s">
        <v>49</v>
      </c>
      <c r="C144" s="25"/>
    </row>
    <row r="145" spans="1:3" x14ac:dyDescent="0.25">
      <c r="A145" s="34"/>
      <c r="C145" s="11"/>
    </row>
    <row r="146" spans="1:3" x14ac:dyDescent="0.25">
      <c r="A146" s="34" t="s">
        <v>107</v>
      </c>
      <c r="C146" s="11"/>
    </row>
    <row r="147" spans="1:3" x14ac:dyDescent="0.25">
      <c r="A147" s="34" t="s">
        <v>108</v>
      </c>
      <c r="C147" s="11"/>
    </row>
    <row r="148" spans="1:3" x14ac:dyDescent="0.25">
      <c r="A148" s="34" t="s">
        <v>94</v>
      </c>
      <c r="C148" s="11"/>
    </row>
    <row r="149" spans="1:3" x14ac:dyDescent="0.25">
      <c r="A149" s="34"/>
      <c r="C149" s="11"/>
    </row>
    <row r="150" spans="1:3" x14ac:dyDescent="0.25">
      <c r="A150" s="26" t="s">
        <v>52</v>
      </c>
      <c r="C150" s="2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39997558519241921"/>
  </sheetPr>
  <dimension ref="A1:L37"/>
  <sheetViews>
    <sheetView zoomScale="130" zoomScaleNormal="130" workbookViewId="0">
      <pane ySplit="3" topLeftCell="A4" activePane="bottomLeft" state="frozen"/>
      <selection pane="bottomLeft" activeCell="D5" sqref="D5"/>
    </sheetView>
  </sheetViews>
  <sheetFormatPr defaultColWidth="8.77734375" defaultRowHeight="14.4" x14ac:dyDescent="0.3"/>
  <cols>
    <col min="1" max="1" width="30.6640625" style="365" customWidth="1"/>
    <col min="2" max="2" width="5.44140625" style="365" hidden="1" customWidth="1"/>
    <col min="3" max="3" width="15.44140625" style="365" customWidth="1"/>
    <col min="4" max="4" width="54.33203125" style="367" customWidth="1"/>
    <col min="5" max="16384" width="8.77734375" style="360"/>
  </cols>
  <sheetData>
    <row r="1" spans="1:12" ht="16.8" customHeight="1" x14ac:dyDescent="0.3">
      <c r="A1" s="433" t="s">
        <v>2850</v>
      </c>
      <c r="B1" s="433"/>
      <c r="C1" s="433"/>
      <c r="D1" s="433"/>
    </row>
    <row r="2" spans="1:12" s="359" customFormat="1" ht="18" x14ac:dyDescent="0.3">
      <c r="A2" s="387" t="s">
        <v>2794</v>
      </c>
      <c r="B2" s="388"/>
      <c r="C2" s="389" t="s">
        <v>2845</v>
      </c>
      <c r="D2" s="389" t="s">
        <v>2844</v>
      </c>
      <c r="E2" s="358"/>
      <c r="F2" s="358"/>
      <c r="G2" s="358"/>
      <c r="H2" s="358"/>
      <c r="I2" s="358"/>
      <c r="J2" s="358"/>
      <c r="K2" s="358"/>
      <c r="L2" s="358"/>
    </row>
    <row r="3" spans="1:12" ht="18" customHeight="1" x14ac:dyDescent="0.3">
      <c r="A3" s="390" t="s">
        <v>2795</v>
      </c>
      <c r="B3" s="391"/>
      <c r="C3" s="392"/>
      <c r="D3" s="393" t="s">
        <v>2703</v>
      </c>
    </row>
    <row r="4" spans="1:12" ht="18" customHeight="1" x14ac:dyDescent="0.3">
      <c r="A4" s="430" t="s">
        <v>2843</v>
      </c>
      <c r="B4" s="431"/>
      <c r="C4" s="431"/>
      <c r="D4" s="432"/>
    </row>
    <row r="5" spans="1:12" ht="41.4" x14ac:dyDescent="0.3">
      <c r="A5" s="384" t="s">
        <v>2838</v>
      </c>
      <c r="B5" s="385"/>
      <c r="C5" s="385"/>
      <c r="D5" s="386" t="s">
        <v>2846</v>
      </c>
    </row>
    <row r="6" spans="1:12" x14ac:dyDescent="0.3">
      <c r="A6" s="361"/>
      <c r="B6" s="362"/>
      <c r="C6" s="362"/>
      <c r="D6" s="363"/>
    </row>
    <row r="7" spans="1:12" x14ac:dyDescent="0.3">
      <c r="A7" s="361"/>
      <c r="B7" s="362"/>
      <c r="C7" s="362"/>
      <c r="D7" s="363"/>
    </row>
    <row r="8" spans="1:12" x14ac:dyDescent="0.3">
      <c r="A8" s="361"/>
      <c r="B8" s="362"/>
      <c r="C8" s="362"/>
      <c r="D8" s="363"/>
    </row>
    <row r="9" spans="1:12" x14ac:dyDescent="0.3">
      <c r="A9" s="361"/>
      <c r="B9" s="362"/>
      <c r="C9" s="362"/>
      <c r="D9" s="363"/>
    </row>
    <row r="10" spans="1:12" x14ac:dyDescent="0.3">
      <c r="A10" s="361"/>
      <c r="B10" s="362"/>
      <c r="C10" s="362"/>
      <c r="D10" s="363"/>
    </row>
    <row r="11" spans="1:12" x14ac:dyDescent="0.3">
      <c r="A11" s="384" t="s">
        <v>2831</v>
      </c>
      <c r="B11" s="385"/>
      <c r="C11" s="385"/>
      <c r="D11" s="386" t="s">
        <v>2839</v>
      </c>
    </row>
    <row r="12" spans="1:12" x14ac:dyDescent="0.3">
      <c r="A12" s="361"/>
      <c r="B12" s="362"/>
      <c r="C12" s="362"/>
      <c r="D12" s="363"/>
    </row>
    <row r="13" spans="1:12" x14ac:dyDescent="0.3">
      <c r="A13" s="364"/>
      <c r="B13" s="362"/>
      <c r="C13" s="362"/>
      <c r="D13" s="363"/>
    </row>
    <row r="14" spans="1:12" x14ac:dyDescent="0.3">
      <c r="A14" s="364"/>
      <c r="B14" s="362"/>
      <c r="C14" s="362"/>
      <c r="D14" s="363"/>
    </row>
    <row r="15" spans="1:12" ht="27.6" x14ac:dyDescent="0.3">
      <c r="A15" s="384" t="s">
        <v>2796</v>
      </c>
      <c r="B15" s="385"/>
      <c r="C15" s="385"/>
      <c r="D15" s="386" t="s">
        <v>2847</v>
      </c>
    </row>
    <row r="16" spans="1:12" x14ac:dyDescent="0.3">
      <c r="A16" s="364"/>
      <c r="B16" s="362"/>
      <c r="C16" s="362"/>
      <c r="D16" s="363"/>
    </row>
    <row r="17" spans="1:4" x14ac:dyDescent="0.3">
      <c r="A17" s="364"/>
      <c r="B17" s="362"/>
      <c r="C17" s="362"/>
      <c r="D17" s="363"/>
    </row>
    <row r="18" spans="1:4" x14ac:dyDescent="0.3">
      <c r="A18" s="364"/>
      <c r="B18" s="362"/>
      <c r="C18" s="362"/>
      <c r="D18" s="363"/>
    </row>
    <row r="19" spans="1:4" x14ac:dyDescent="0.3">
      <c r="A19" s="364"/>
      <c r="B19" s="362"/>
      <c r="C19" s="362"/>
      <c r="D19" s="363"/>
    </row>
    <row r="20" spans="1:4" ht="41.4" x14ac:dyDescent="0.3">
      <c r="A20" s="384" t="s">
        <v>2797</v>
      </c>
      <c r="B20" s="385"/>
      <c r="C20" s="385"/>
      <c r="D20" s="386" t="s">
        <v>2848</v>
      </c>
    </row>
    <row r="21" spans="1:4" x14ac:dyDescent="0.3">
      <c r="A21" s="364"/>
      <c r="B21" s="362"/>
      <c r="C21" s="362"/>
      <c r="D21" s="363"/>
    </row>
    <row r="22" spans="1:4" x14ac:dyDescent="0.3">
      <c r="A22" s="364"/>
      <c r="B22" s="362"/>
      <c r="C22" s="362"/>
      <c r="D22" s="363"/>
    </row>
    <row r="23" spans="1:4" x14ac:dyDescent="0.3">
      <c r="A23" s="364"/>
      <c r="B23" s="362"/>
      <c r="C23" s="362"/>
      <c r="D23" s="363"/>
    </row>
    <row r="24" spans="1:4" ht="27.6" x14ac:dyDescent="0.3">
      <c r="A24" s="384" t="s">
        <v>2798</v>
      </c>
      <c r="B24" s="385"/>
      <c r="C24" s="385"/>
      <c r="D24" s="386" t="s">
        <v>2849</v>
      </c>
    </row>
    <row r="25" spans="1:4" x14ac:dyDescent="0.3">
      <c r="A25" s="361"/>
      <c r="B25" s="362"/>
      <c r="C25" s="362"/>
      <c r="D25" s="363"/>
    </row>
    <row r="26" spans="1:4" x14ac:dyDescent="0.3">
      <c r="A26" s="361"/>
      <c r="B26" s="362"/>
      <c r="C26" s="362"/>
      <c r="D26" s="363"/>
    </row>
    <row r="27" spans="1:4" x14ac:dyDescent="0.3">
      <c r="A27" s="361"/>
      <c r="B27" s="362"/>
      <c r="C27" s="362"/>
      <c r="D27" s="363"/>
    </row>
    <row r="28" spans="1:4" x14ac:dyDescent="0.3">
      <c r="A28" s="364"/>
      <c r="B28" s="362"/>
      <c r="C28" s="362"/>
      <c r="D28" s="363"/>
    </row>
    <row r="29" spans="1:4" x14ac:dyDescent="0.3">
      <c r="B29" s="366"/>
      <c r="C29" s="366"/>
    </row>
    <row r="30" spans="1:4" x14ac:dyDescent="0.3">
      <c r="A30" s="368"/>
      <c r="B30" s="366"/>
      <c r="C30" s="366"/>
    </row>
    <row r="31" spans="1:4" x14ac:dyDescent="0.3">
      <c r="B31" s="366"/>
      <c r="C31" s="366"/>
    </row>
    <row r="32" spans="1:4" x14ac:dyDescent="0.3">
      <c r="B32" s="366"/>
      <c r="C32" s="366"/>
    </row>
    <row r="33" spans="1:4" x14ac:dyDescent="0.3">
      <c r="B33" s="366"/>
      <c r="C33" s="366"/>
    </row>
    <row r="34" spans="1:4" x14ac:dyDescent="0.3">
      <c r="B34" s="366"/>
      <c r="C34" s="366"/>
    </row>
    <row r="35" spans="1:4" x14ac:dyDescent="0.3">
      <c r="A35" s="369"/>
      <c r="B35" s="366"/>
      <c r="C35" s="366"/>
      <c r="D35" s="370"/>
    </row>
    <row r="36" spans="1:4" x14ac:dyDescent="0.3">
      <c r="A36" s="371"/>
      <c r="B36" s="366"/>
      <c r="C36" s="366"/>
    </row>
    <row r="37" spans="1:4" x14ac:dyDescent="0.3">
      <c r="A37" s="371"/>
      <c r="B37" s="366"/>
      <c r="C37" s="366"/>
    </row>
  </sheetData>
  <mergeCells count="2">
    <mergeCell ref="A4:D4"/>
    <mergeCell ref="A1:D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A9F30-C8E2-4112-BC42-4465FF15357D}">
  <sheetPr>
    <tabColor theme="4" tint="-0.249977111117893"/>
  </sheetPr>
  <dimension ref="A1:XFB70"/>
  <sheetViews>
    <sheetView zoomScaleNormal="100" workbookViewId="0">
      <pane xSplit="1" ySplit="3" topLeftCell="B58" activePane="bottomRight" state="frozen"/>
      <selection pane="topRight" activeCell="B1" sqref="B1"/>
      <selection pane="bottomLeft" activeCell="A4" sqref="A4"/>
      <selection pane="bottomRight" activeCell="A71" sqref="A71"/>
    </sheetView>
  </sheetViews>
  <sheetFormatPr defaultColWidth="12.6640625" defaultRowHeight="13.8" x14ac:dyDescent="0.3"/>
  <cols>
    <col min="1" max="1" width="34.77734375" style="347" customWidth="1"/>
    <col min="2" max="2" width="8.33203125" style="409" customWidth="1"/>
    <col min="3" max="3" width="15.33203125" style="347" customWidth="1"/>
    <col min="4" max="4" width="12.6640625" style="347"/>
    <col min="5" max="5" width="36.109375" style="347" customWidth="1"/>
    <col min="6" max="6" width="16.44140625" style="347" customWidth="1"/>
    <col min="7" max="16384" width="12.6640625" style="347"/>
  </cols>
  <sheetData>
    <row r="1" spans="1:16382" s="394" customFormat="1" ht="14.4" x14ac:dyDescent="0.3">
      <c r="A1" s="395" t="s">
        <v>2850</v>
      </c>
      <c r="B1" s="400"/>
      <c r="C1" s="395"/>
      <c r="D1" s="395"/>
      <c r="E1" s="396"/>
      <c r="F1" s="396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  <c r="AT1" s="434"/>
      <c r="AU1" s="434"/>
      <c r="AV1" s="434"/>
      <c r="AW1" s="434"/>
      <c r="AX1" s="434"/>
      <c r="AY1" s="434"/>
      <c r="AZ1" s="434"/>
      <c r="BA1" s="434"/>
      <c r="BB1" s="434"/>
      <c r="BC1" s="434"/>
      <c r="BD1" s="434"/>
      <c r="BE1" s="434"/>
      <c r="BF1" s="434"/>
      <c r="BG1" s="434"/>
      <c r="BH1" s="434"/>
      <c r="BI1" s="434"/>
      <c r="BJ1" s="434"/>
      <c r="BK1" s="434"/>
      <c r="BL1" s="434"/>
      <c r="BM1" s="434"/>
      <c r="BN1" s="434"/>
      <c r="BO1" s="434"/>
      <c r="BP1" s="434"/>
      <c r="BQ1" s="434"/>
      <c r="BR1" s="434"/>
      <c r="BS1" s="434"/>
      <c r="BT1" s="434"/>
      <c r="BU1" s="434"/>
      <c r="BV1" s="434"/>
      <c r="BW1" s="434"/>
      <c r="BX1" s="434"/>
      <c r="BY1" s="434"/>
      <c r="BZ1" s="434"/>
      <c r="CA1" s="434"/>
      <c r="CB1" s="434"/>
      <c r="CC1" s="434"/>
      <c r="CD1" s="434"/>
      <c r="CE1" s="434"/>
      <c r="CF1" s="434"/>
      <c r="CG1" s="434"/>
      <c r="CH1" s="434"/>
      <c r="CI1" s="434"/>
      <c r="CJ1" s="434"/>
      <c r="CK1" s="434"/>
      <c r="CL1" s="434"/>
      <c r="CM1" s="434"/>
      <c r="CN1" s="434"/>
      <c r="CO1" s="434"/>
      <c r="CP1" s="434"/>
      <c r="CQ1" s="434"/>
      <c r="CR1" s="434"/>
      <c r="CS1" s="434"/>
      <c r="CT1" s="434"/>
      <c r="CU1" s="434"/>
      <c r="CV1" s="434"/>
      <c r="CW1" s="434"/>
      <c r="CX1" s="434"/>
      <c r="CY1" s="434"/>
      <c r="CZ1" s="434"/>
      <c r="DA1" s="434"/>
      <c r="DB1" s="434"/>
      <c r="DC1" s="434"/>
      <c r="DD1" s="434"/>
      <c r="DE1" s="434"/>
      <c r="DF1" s="434"/>
      <c r="DG1" s="434"/>
      <c r="DH1" s="434"/>
      <c r="DI1" s="434"/>
      <c r="DJ1" s="434"/>
      <c r="DK1" s="434"/>
      <c r="DL1" s="434"/>
      <c r="DM1" s="434"/>
      <c r="DN1" s="434"/>
      <c r="DO1" s="434"/>
      <c r="DP1" s="434"/>
      <c r="DQ1" s="434"/>
      <c r="DR1" s="434"/>
      <c r="DS1" s="434"/>
      <c r="DT1" s="434"/>
      <c r="DU1" s="434"/>
      <c r="DV1" s="434"/>
      <c r="DW1" s="434"/>
      <c r="DX1" s="434"/>
      <c r="DY1" s="434"/>
      <c r="DZ1" s="434"/>
      <c r="EA1" s="434"/>
      <c r="EB1" s="434"/>
      <c r="EC1" s="434"/>
      <c r="ED1" s="434"/>
      <c r="EE1" s="434"/>
      <c r="EF1" s="434"/>
      <c r="EG1" s="434"/>
      <c r="EH1" s="434"/>
      <c r="EI1" s="434"/>
      <c r="EJ1" s="434"/>
      <c r="EK1" s="434"/>
      <c r="EL1" s="434"/>
      <c r="EM1" s="434"/>
      <c r="EN1" s="434"/>
      <c r="EO1" s="434"/>
      <c r="EP1" s="434"/>
      <c r="EQ1" s="434"/>
      <c r="ER1" s="434"/>
      <c r="ES1" s="434"/>
      <c r="ET1" s="434"/>
      <c r="EU1" s="434"/>
      <c r="EV1" s="434"/>
      <c r="EW1" s="434"/>
      <c r="EX1" s="434"/>
      <c r="EY1" s="434"/>
      <c r="EZ1" s="434"/>
      <c r="FA1" s="434"/>
      <c r="FB1" s="434"/>
      <c r="FC1" s="434"/>
      <c r="FD1" s="434"/>
      <c r="FE1" s="434"/>
      <c r="FF1" s="434"/>
      <c r="FG1" s="434"/>
      <c r="FH1" s="434"/>
      <c r="FI1" s="434"/>
      <c r="FJ1" s="434"/>
      <c r="FK1" s="434"/>
      <c r="FL1" s="434"/>
      <c r="FM1" s="434"/>
      <c r="FN1" s="434"/>
      <c r="FO1" s="434"/>
      <c r="FP1" s="434"/>
      <c r="FQ1" s="434"/>
      <c r="FR1" s="434"/>
      <c r="FS1" s="434"/>
      <c r="FT1" s="434"/>
      <c r="FU1" s="434"/>
      <c r="FV1" s="434"/>
      <c r="FW1" s="434"/>
      <c r="FX1" s="434"/>
      <c r="FY1" s="434"/>
      <c r="FZ1" s="434"/>
      <c r="GA1" s="434"/>
      <c r="GB1" s="434"/>
      <c r="GC1" s="434"/>
      <c r="GD1" s="434"/>
      <c r="GE1" s="434"/>
      <c r="GF1" s="434"/>
      <c r="GG1" s="434"/>
      <c r="GH1" s="434"/>
      <c r="GI1" s="434"/>
      <c r="GJ1" s="434"/>
      <c r="GK1" s="434"/>
      <c r="GL1" s="434"/>
      <c r="GM1" s="434"/>
      <c r="GN1" s="434"/>
      <c r="GO1" s="434"/>
      <c r="GP1" s="434"/>
      <c r="GQ1" s="434"/>
      <c r="GR1" s="434"/>
      <c r="GS1" s="434"/>
      <c r="GT1" s="434"/>
      <c r="GU1" s="434"/>
      <c r="GV1" s="434"/>
      <c r="GW1" s="434"/>
      <c r="GX1" s="434"/>
      <c r="GY1" s="434"/>
      <c r="GZ1" s="434"/>
      <c r="HA1" s="434"/>
      <c r="HB1" s="434"/>
      <c r="HC1" s="434"/>
      <c r="HD1" s="434"/>
      <c r="HE1" s="434"/>
      <c r="HF1" s="434"/>
      <c r="HG1" s="434"/>
      <c r="HH1" s="434"/>
      <c r="HI1" s="434"/>
      <c r="HJ1" s="434"/>
      <c r="HK1" s="434"/>
      <c r="HL1" s="434"/>
      <c r="HM1" s="434"/>
      <c r="HN1" s="434"/>
      <c r="HO1" s="434"/>
      <c r="HP1" s="434"/>
      <c r="HQ1" s="434"/>
      <c r="HR1" s="434"/>
      <c r="HS1" s="434"/>
      <c r="HT1" s="434"/>
      <c r="HU1" s="434"/>
      <c r="HV1" s="434"/>
      <c r="HW1" s="434"/>
      <c r="HX1" s="434"/>
      <c r="HY1" s="434"/>
      <c r="HZ1" s="434"/>
      <c r="IA1" s="434"/>
      <c r="IB1" s="434"/>
      <c r="IC1" s="434"/>
      <c r="ID1" s="434"/>
      <c r="IE1" s="434"/>
      <c r="IF1" s="434"/>
      <c r="IG1" s="434"/>
      <c r="IH1" s="434"/>
      <c r="II1" s="434"/>
      <c r="IJ1" s="434"/>
      <c r="IK1" s="434"/>
      <c r="IL1" s="434"/>
      <c r="IM1" s="434"/>
      <c r="IN1" s="434"/>
      <c r="IO1" s="434"/>
      <c r="IP1" s="434"/>
      <c r="IQ1" s="434"/>
      <c r="IR1" s="434"/>
      <c r="IS1" s="434"/>
      <c r="IT1" s="434"/>
      <c r="IU1" s="434"/>
      <c r="IV1" s="434"/>
      <c r="IW1" s="434"/>
      <c r="IX1" s="434"/>
      <c r="IY1" s="434"/>
      <c r="IZ1" s="434"/>
      <c r="JA1" s="434"/>
      <c r="JB1" s="434"/>
      <c r="JC1" s="434"/>
      <c r="JD1" s="434"/>
      <c r="JE1" s="434"/>
      <c r="JF1" s="434"/>
      <c r="JG1" s="434"/>
      <c r="JH1" s="434"/>
      <c r="JI1" s="434"/>
      <c r="JJ1" s="434"/>
      <c r="JK1" s="434"/>
      <c r="JL1" s="434"/>
      <c r="JM1" s="434"/>
      <c r="JN1" s="434"/>
      <c r="JO1" s="434"/>
      <c r="JP1" s="434"/>
      <c r="JQ1" s="434"/>
      <c r="JR1" s="434"/>
      <c r="JS1" s="434"/>
      <c r="JT1" s="434"/>
      <c r="JU1" s="434"/>
      <c r="JV1" s="434"/>
      <c r="JW1" s="434"/>
      <c r="JX1" s="434"/>
      <c r="JY1" s="434"/>
      <c r="JZ1" s="434"/>
      <c r="KA1" s="434"/>
      <c r="KB1" s="434"/>
      <c r="KC1" s="434"/>
      <c r="KD1" s="434"/>
      <c r="KE1" s="434"/>
      <c r="KF1" s="434"/>
      <c r="KG1" s="434"/>
      <c r="KH1" s="434"/>
      <c r="KI1" s="434"/>
      <c r="KJ1" s="434"/>
      <c r="KK1" s="434"/>
      <c r="KL1" s="434"/>
      <c r="KM1" s="434"/>
      <c r="KN1" s="434"/>
      <c r="KO1" s="434"/>
      <c r="KP1" s="434"/>
      <c r="KQ1" s="434"/>
      <c r="KR1" s="434"/>
      <c r="KS1" s="434"/>
      <c r="KT1" s="434"/>
      <c r="KU1" s="434"/>
      <c r="KV1" s="434"/>
      <c r="KW1" s="434"/>
      <c r="KX1" s="434"/>
      <c r="KY1" s="434"/>
      <c r="KZ1" s="434"/>
      <c r="LA1" s="434"/>
      <c r="LB1" s="434"/>
      <c r="LC1" s="434"/>
      <c r="LD1" s="434"/>
      <c r="LE1" s="434"/>
      <c r="LF1" s="434"/>
      <c r="LG1" s="434"/>
      <c r="LH1" s="434"/>
      <c r="LI1" s="434"/>
      <c r="LJ1" s="434"/>
      <c r="LK1" s="434"/>
      <c r="LL1" s="434"/>
      <c r="LM1" s="434"/>
      <c r="LN1" s="434"/>
      <c r="LO1" s="434"/>
      <c r="LP1" s="434"/>
      <c r="LQ1" s="434"/>
      <c r="LR1" s="434"/>
      <c r="LS1" s="434"/>
      <c r="LT1" s="434"/>
      <c r="LU1" s="434"/>
      <c r="LV1" s="434"/>
      <c r="LW1" s="434"/>
      <c r="LX1" s="434"/>
      <c r="LY1" s="434"/>
      <c r="LZ1" s="434"/>
      <c r="MA1" s="434"/>
      <c r="MB1" s="434"/>
      <c r="MC1" s="434"/>
      <c r="MD1" s="434"/>
      <c r="ME1" s="434"/>
      <c r="MF1" s="434"/>
      <c r="MG1" s="434"/>
      <c r="MH1" s="434"/>
      <c r="MI1" s="434"/>
      <c r="MJ1" s="434"/>
      <c r="MK1" s="434"/>
      <c r="ML1" s="434"/>
      <c r="MM1" s="434"/>
      <c r="MN1" s="434"/>
      <c r="MO1" s="434"/>
      <c r="MP1" s="434"/>
      <c r="MQ1" s="434"/>
      <c r="MR1" s="434"/>
      <c r="MS1" s="434"/>
      <c r="MT1" s="434"/>
      <c r="MU1" s="434"/>
      <c r="MV1" s="434"/>
      <c r="MW1" s="434"/>
      <c r="MX1" s="434"/>
      <c r="MY1" s="434"/>
      <c r="MZ1" s="434"/>
      <c r="NA1" s="434"/>
      <c r="NB1" s="434"/>
      <c r="NC1" s="434"/>
      <c r="ND1" s="434"/>
      <c r="NE1" s="434"/>
      <c r="NF1" s="434"/>
      <c r="NG1" s="434"/>
      <c r="NH1" s="434"/>
      <c r="NI1" s="434"/>
      <c r="NJ1" s="434"/>
      <c r="NK1" s="434"/>
      <c r="NL1" s="434"/>
      <c r="NM1" s="434"/>
      <c r="NN1" s="434"/>
      <c r="NO1" s="434"/>
      <c r="NP1" s="434"/>
      <c r="NQ1" s="434"/>
      <c r="NR1" s="434"/>
      <c r="NS1" s="434"/>
      <c r="NT1" s="434"/>
      <c r="NU1" s="434"/>
      <c r="NV1" s="434"/>
      <c r="NW1" s="434"/>
      <c r="NX1" s="434"/>
      <c r="NY1" s="434"/>
      <c r="NZ1" s="434"/>
      <c r="OA1" s="434"/>
      <c r="OB1" s="434"/>
      <c r="OC1" s="434"/>
      <c r="OD1" s="434"/>
      <c r="OE1" s="434"/>
      <c r="OF1" s="434"/>
      <c r="OG1" s="434"/>
      <c r="OH1" s="434"/>
      <c r="OI1" s="434"/>
      <c r="OJ1" s="434"/>
      <c r="OK1" s="434"/>
      <c r="OL1" s="434"/>
      <c r="OM1" s="434"/>
      <c r="ON1" s="434"/>
      <c r="OO1" s="434"/>
      <c r="OP1" s="434"/>
      <c r="OQ1" s="434"/>
      <c r="OR1" s="434"/>
      <c r="OS1" s="434"/>
      <c r="OT1" s="434"/>
      <c r="OU1" s="434"/>
      <c r="OV1" s="434"/>
      <c r="OW1" s="434"/>
      <c r="OX1" s="434"/>
      <c r="OY1" s="434"/>
      <c r="OZ1" s="434"/>
      <c r="PA1" s="434"/>
      <c r="PB1" s="434"/>
      <c r="PC1" s="434"/>
      <c r="PD1" s="434"/>
      <c r="PE1" s="434"/>
      <c r="PF1" s="434"/>
      <c r="PG1" s="434"/>
      <c r="PH1" s="434"/>
      <c r="PI1" s="434"/>
      <c r="PJ1" s="434"/>
      <c r="PK1" s="434"/>
      <c r="PL1" s="434"/>
      <c r="PM1" s="434"/>
      <c r="PN1" s="434"/>
      <c r="PO1" s="434"/>
      <c r="PP1" s="434"/>
      <c r="PQ1" s="434"/>
      <c r="PR1" s="434"/>
      <c r="PS1" s="434"/>
      <c r="PT1" s="434"/>
      <c r="PU1" s="434"/>
      <c r="PV1" s="434"/>
      <c r="PW1" s="434"/>
      <c r="PX1" s="434"/>
      <c r="PY1" s="434"/>
      <c r="PZ1" s="434"/>
      <c r="QA1" s="434"/>
      <c r="QB1" s="434"/>
      <c r="QC1" s="434"/>
      <c r="QD1" s="434"/>
      <c r="QE1" s="434"/>
      <c r="QF1" s="434"/>
      <c r="QG1" s="434"/>
      <c r="QH1" s="434"/>
      <c r="QI1" s="434"/>
      <c r="QJ1" s="434"/>
      <c r="QK1" s="434"/>
      <c r="QL1" s="434"/>
      <c r="QM1" s="434"/>
      <c r="QN1" s="434"/>
      <c r="QO1" s="434"/>
      <c r="QP1" s="434"/>
      <c r="QQ1" s="434"/>
      <c r="QR1" s="434"/>
      <c r="QS1" s="434"/>
      <c r="QT1" s="434"/>
      <c r="QU1" s="434"/>
      <c r="QV1" s="434"/>
      <c r="QW1" s="434"/>
      <c r="QX1" s="434"/>
      <c r="QY1" s="434"/>
      <c r="QZ1" s="434"/>
      <c r="RA1" s="434"/>
      <c r="RB1" s="434"/>
      <c r="RC1" s="434"/>
      <c r="RD1" s="434"/>
      <c r="RE1" s="434"/>
      <c r="RF1" s="434"/>
      <c r="RG1" s="434"/>
      <c r="RH1" s="434"/>
      <c r="RI1" s="434"/>
      <c r="RJ1" s="434"/>
      <c r="RK1" s="434"/>
      <c r="RL1" s="434"/>
      <c r="RM1" s="434"/>
      <c r="RN1" s="434"/>
      <c r="RO1" s="434"/>
      <c r="RP1" s="434"/>
      <c r="RQ1" s="434"/>
      <c r="RR1" s="434"/>
      <c r="RS1" s="434"/>
      <c r="RT1" s="434"/>
      <c r="RU1" s="434"/>
      <c r="RV1" s="434"/>
      <c r="RW1" s="434"/>
      <c r="RX1" s="434"/>
      <c r="RY1" s="434"/>
      <c r="RZ1" s="434"/>
      <c r="SA1" s="434"/>
      <c r="SB1" s="434"/>
      <c r="SC1" s="434"/>
      <c r="SD1" s="434"/>
      <c r="SE1" s="434"/>
      <c r="SF1" s="434"/>
      <c r="SG1" s="434"/>
      <c r="SH1" s="434"/>
      <c r="SI1" s="434"/>
      <c r="SJ1" s="434"/>
      <c r="SK1" s="434"/>
      <c r="SL1" s="434"/>
      <c r="SM1" s="434"/>
      <c r="SN1" s="434"/>
      <c r="SO1" s="434"/>
      <c r="SP1" s="434"/>
      <c r="SQ1" s="434"/>
      <c r="SR1" s="434"/>
      <c r="SS1" s="434"/>
      <c r="ST1" s="434"/>
      <c r="SU1" s="434"/>
      <c r="SV1" s="434"/>
      <c r="SW1" s="434"/>
      <c r="SX1" s="434"/>
      <c r="SY1" s="434"/>
      <c r="SZ1" s="434"/>
      <c r="TA1" s="434"/>
      <c r="TB1" s="434"/>
      <c r="TC1" s="434"/>
      <c r="TD1" s="434"/>
      <c r="TE1" s="434"/>
      <c r="TF1" s="434"/>
      <c r="TG1" s="434"/>
      <c r="TH1" s="434"/>
      <c r="TI1" s="434"/>
      <c r="TJ1" s="434"/>
      <c r="TK1" s="434"/>
      <c r="TL1" s="434"/>
      <c r="TM1" s="434"/>
      <c r="TN1" s="434"/>
      <c r="TO1" s="434"/>
      <c r="TP1" s="434"/>
      <c r="TQ1" s="434"/>
      <c r="TR1" s="434"/>
      <c r="TS1" s="434"/>
      <c r="TT1" s="434"/>
      <c r="TU1" s="434"/>
      <c r="TV1" s="434"/>
      <c r="TW1" s="434"/>
      <c r="TX1" s="434"/>
      <c r="TY1" s="434"/>
      <c r="TZ1" s="434"/>
      <c r="UA1" s="434"/>
      <c r="UB1" s="434"/>
      <c r="UC1" s="434"/>
      <c r="UD1" s="434"/>
      <c r="UE1" s="434"/>
      <c r="UF1" s="434"/>
      <c r="UG1" s="434"/>
      <c r="UH1" s="434"/>
      <c r="UI1" s="434"/>
      <c r="UJ1" s="434"/>
      <c r="UK1" s="434"/>
      <c r="UL1" s="434"/>
      <c r="UM1" s="434"/>
      <c r="UN1" s="434"/>
      <c r="UO1" s="434"/>
      <c r="UP1" s="434"/>
      <c r="UQ1" s="434"/>
      <c r="UR1" s="434"/>
      <c r="US1" s="434"/>
      <c r="UT1" s="434"/>
      <c r="UU1" s="434"/>
      <c r="UV1" s="434"/>
      <c r="UW1" s="434"/>
      <c r="UX1" s="434"/>
      <c r="UY1" s="434"/>
      <c r="UZ1" s="434"/>
      <c r="VA1" s="434"/>
      <c r="VB1" s="434"/>
      <c r="VC1" s="434"/>
      <c r="VD1" s="434"/>
      <c r="VE1" s="434"/>
      <c r="VF1" s="434"/>
      <c r="VG1" s="434"/>
      <c r="VH1" s="434"/>
      <c r="VI1" s="434"/>
      <c r="VJ1" s="434"/>
      <c r="VK1" s="434"/>
      <c r="VL1" s="434"/>
      <c r="VM1" s="434"/>
      <c r="VN1" s="434"/>
      <c r="VO1" s="434"/>
      <c r="VP1" s="434"/>
      <c r="VQ1" s="434"/>
      <c r="VR1" s="434"/>
      <c r="VS1" s="434"/>
      <c r="VT1" s="434"/>
      <c r="VU1" s="434"/>
      <c r="VV1" s="434"/>
      <c r="VW1" s="434"/>
      <c r="VX1" s="434"/>
      <c r="VY1" s="434"/>
      <c r="VZ1" s="434"/>
      <c r="WA1" s="434"/>
      <c r="WB1" s="434"/>
      <c r="WC1" s="434"/>
      <c r="WD1" s="434"/>
      <c r="WE1" s="434"/>
      <c r="WF1" s="434"/>
      <c r="WG1" s="434"/>
      <c r="WH1" s="434"/>
      <c r="WI1" s="434"/>
      <c r="WJ1" s="434"/>
      <c r="WK1" s="434"/>
      <c r="WL1" s="434"/>
      <c r="WM1" s="434"/>
      <c r="WN1" s="434"/>
      <c r="WO1" s="434"/>
      <c r="WP1" s="434"/>
      <c r="WQ1" s="434"/>
      <c r="WR1" s="434"/>
      <c r="WS1" s="434"/>
      <c r="WT1" s="434"/>
      <c r="WU1" s="434"/>
      <c r="WV1" s="434"/>
      <c r="WW1" s="434"/>
      <c r="WX1" s="434"/>
      <c r="WY1" s="434"/>
      <c r="WZ1" s="434"/>
      <c r="XA1" s="434"/>
      <c r="XB1" s="434"/>
      <c r="XC1" s="434"/>
      <c r="XD1" s="434"/>
      <c r="XE1" s="434"/>
      <c r="XF1" s="434"/>
      <c r="XG1" s="434"/>
      <c r="XH1" s="434"/>
      <c r="XI1" s="434"/>
      <c r="XJ1" s="434"/>
      <c r="XK1" s="434"/>
      <c r="XL1" s="434"/>
      <c r="XM1" s="434"/>
      <c r="XN1" s="434"/>
      <c r="XO1" s="434"/>
      <c r="XP1" s="434"/>
      <c r="XQ1" s="434"/>
      <c r="XR1" s="434"/>
      <c r="XS1" s="434"/>
      <c r="XT1" s="434"/>
      <c r="XU1" s="434"/>
      <c r="XV1" s="434"/>
      <c r="XW1" s="434"/>
      <c r="XX1" s="434"/>
      <c r="XY1" s="434"/>
      <c r="XZ1" s="434"/>
      <c r="YA1" s="434"/>
      <c r="YB1" s="434"/>
      <c r="YC1" s="434"/>
      <c r="YD1" s="434"/>
      <c r="YE1" s="434"/>
      <c r="YF1" s="434"/>
      <c r="YG1" s="434"/>
      <c r="YH1" s="434"/>
      <c r="YI1" s="434"/>
      <c r="YJ1" s="434"/>
      <c r="YK1" s="434"/>
      <c r="YL1" s="434"/>
      <c r="YM1" s="434"/>
      <c r="YN1" s="434"/>
      <c r="YO1" s="434"/>
      <c r="YP1" s="434"/>
      <c r="YQ1" s="434"/>
      <c r="YR1" s="434"/>
      <c r="YS1" s="434"/>
      <c r="YT1" s="434"/>
      <c r="YU1" s="434"/>
      <c r="YV1" s="434"/>
      <c r="YW1" s="434"/>
      <c r="YX1" s="434"/>
      <c r="YY1" s="434"/>
      <c r="YZ1" s="434"/>
      <c r="ZA1" s="434"/>
      <c r="ZB1" s="434"/>
      <c r="ZC1" s="434"/>
      <c r="ZD1" s="434"/>
      <c r="ZE1" s="434"/>
      <c r="ZF1" s="434"/>
      <c r="ZG1" s="434"/>
      <c r="ZH1" s="434"/>
      <c r="ZI1" s="434"/>
      <c r="ZJ1" s="434"/>
      <c r="ZK1" s="434"/>
      <c r="ZL1" s="434"/>
      <c r="ZM1" s="434"/>
      <c r="ZN1" s="434"/>
      <c r="ZO1" s="434"/>
      <c r="ZP1" s="434"/>
      <c r="ZQ1" s="434"/>
      <c r="ZR1" s="434"/>
      <c r="ZS1" s="434"/>
      <c r="ZT1" s="434"/>
      <c r="ZU1" s="434"/>
      <c r="ZV1" s="434"/>
      <c r="ZW1" s="434"/>
      <c r="ZX1" s="434"/>
      <c r="ZY1" s="434"/>
      <c r="ZZ1" s="434"/>
      <c r="AAA1" s="434"/>
      <c r="AAB1" s="434"/>
      <c r="AAC1" s="434"/>
      <c r="AAD1" s="434"/>
      <c r="AAE1" s="434"/>
      <c r="AAF1" s="434"/>
      <c r="AAG1" s="434"/>
      <c r="AAH1" s="434"/>
      <c r="AAI1" s="434"/>
      <c r="AAJ1" s="434"/>
      <c r="AAK1" s="434"/>
      <c r="AAL1" s="434"/>
      <c r="AAM1" s="434"/>
      <c r="AAN1" s="434"/>
      <c r="AAO1" s="434"/>
      <c r="AAP1" s="434"/>
      <c r="AAQ1" s="434"/>
      <c r="AAR1" s="434"/>
      <c r="AAS1" s="434"/>
      <c r="AAT1" s="434"/>
      <c r="AAU1" s="434"/>
      <c r="AAV1" s="434"/>
      <c r="AAW1" s="434"/>
      <c r="AAX1" s="434"/>
      <c r="AAY1" s="434"/>
      <c r="AAZ1" s="434"/>
      <c r="ABA1" s="434"/>
      <c r="ABB1" s="434"/>
      <c r="ABC1" s="434"/>
      <c r="ABD1" s="434"/>
      <c r="ABE1" s="434"/>
      <c r="ABF1" s="434"/>
      <c r="ABG1" s="434"/>
      <c r="ABH1" s="434"/>
      <c r="ABI1" s="434"/>
      <c r="ABJ1" s="434"/>
      <c r="ABK1" s="434"/>
      <c r="ABL1" s="434"/>
      <c r="ABM1" s="434"/>
      <c r="ABN1" s="434"/>
      <c r="ABO1" s="434"/>
      <c r="ABP1" s="434"/>
      <c r="ABQ1" s="434"/>
      <c r="ABR1" s="434"/>
      <c r="ABS1" s="434"/>
      <c r="ABT1" s="434"/>
      <c r="ABU1" s="434"/>
      <c r="ABV1" s="434"/>
      <c r="ABW1" s="434"/>
      <c r="ABX1" s="434"/>
      <c r="ABY1" s="434"/>
      <c r="ABZ1" s="434"/>
      <c r="ACA1" s="434"/>
      <c r="ACB1" s="434"/>
      <c r="ACC1" s="434"/>
      <c r="ACD1" s="434"/>
      <c r="ACE1" s="434"/>
      <c r="ACF1" s="434"/>
      <c r="ACG1" s="434"/>
      <c r="ACH1" s="434"/>
      <c r="ACI1" s="434"/>
      <c r="ACJ1" s="434"/>
      <c r="ACK1" s="434"/>
      <c r="ACL1" s="434"/>
      <c r="ACM1" s="434"/>
      <c r="ACN1" s="434"/>
      <c r="ACO1" s="434"/>
      <c r="ACP1" s="434"/>
      <c r="ACQ1" s="434"/>
      <c r="ACR1" s="434"/>
      <c r="ACS1" s="434"/>
      <c r="ACT1" s="434"/>
      <c r="ACU1" s="434"/>
      <c r="ACV1" s="434"/>
      <c r="ACW1" s="434"/>
      <c r="ACX1" s="434"/>
      <c r="ACY1" s="434"/>
      <c r="ACZ1" s="434"/>
      <c r="ADA1" s="434"/>
      <c r="ADB1" s="434"/>
      <c r="ADC1" s="434"/>
      <c r="ADD1" s="434"/>
      <c r="ADE1" s="434"/>
      <c r="ADF1" s="434"/>
      <c r="ADG1" s="434"/>
      <c r="ADH1" s="434"/>
      <c r="ADI1" s="434"/>
      <c r="ADJ1" s="434"/>
      <c r="ADK1" s="434"/>
      <c r="ADL1" s="434"/>
      <c r="ADM1" s="434"/>
      <c r="ADN1" s="434"/>
      <c r="ADO1" s="434"/>
      <c r="ADP1" s="434"/>
      <c r="ADQ1" s="434"/>
      <c r="ADR1" s="434"/>
      <c r="ADS1" s="434"/>
      <c r="ADT1" s="434"/>
      <c r="ADU1" s="434"/>
      <c r="ADV1" s="434"/>
      <c r="ADW1" s="434"/>
      <c r="ADX1" s="434"/>
      <c r="ADY1" s="434"/>
      <c r="ADZ1" s="434"/>
      <c r="AEA1" s="434"/>
      <c r="AEB1" s="434"/>
      <c r="AEC1" s="434"/>
      <c r="AED1" s="434"/>
      <c r="AEE1" s="434"/>
      <c r="AEF1" s="434"/>
      <c r="AEG1" s="434"/>
      <c r="AEH1" s="434"/>
      <c r="AEI1" s="434"/>
      <c r="AEJ1" s="434"/>
      <c r="AEK1" s="434"/>
      <c r="AEL1" s="434"/>
      <c r="AEM1" s="434"/>
      <c r="AEN1" s="434"/>
      <c r="AEO1" s="434"/>
      <c r="AEP1" s="434"/>
      <c r="AEQ1" s="434"/>
      <c r="AER1" s="434"/>
      <c r="AES1" s="434"/>
      <c r="AET1" s="434"/>
      <c r="AEU1" s="434"/>
      <c r="AEV1" s="434"/>
      <c r="AEW1" s="434"/>
      <c r="AEX1" s="434"/>
      <c r="AEY1" s="434"/>
      <c r="AEZ1" s="434"/>
      <c r="AFA1" s="434"/>
      <c r="AFB1" s="434"/>
      <c r="AFC1" s="434"/>
      <c r="AFD1" s="434"/>
      <c r="AFE1" s="434"/>
      <c r="AFF1" s="434"/>
      <c r="AFG1" s="434"/>
      <c r="AFH1" s="434"/>
      <c r="AFI1" s="434"/>
      <c r="AFJ1" s="434"/>
      <c r="AFK1" s="434"/>
      <c r="AFL1" s="434"/>
      <c r="AFM1" s="434"/>
      <c r="AFN1" s="434"/>
      <c r="AFO1" s="434"/>
      <c r="AFP1" s="434"/>
      <c r="AFQ1" s="434"/>
      <c r="AFR1" s="434"/>
      <c r="AFS1" s="434"/>
      <c r="AFT1" s="434"/>
      <c r="AFU1" s="434"/>
      <c r="AFV1" s="434"/>
      <c r="AFW1" s="434"/>
      <c r="AFX1" s="434"/>
      <c r="AFY1" s="434"/>
      <c r="AFZ1" s="434"/>
      <c r="AGA1" s="434"/>
      <c r="AGB1" s="434"/>
      <c r="AGC1" s="434"/>
      <c r="AGD1" s="434"/>
      <c r="AGE1" s="434"/>
      <c r="AGF1" s="434"/>
      <c r="AGG1" s="434"/>
      <c r="AGH1" s="434"/>
      <c r="AGI1" s="434"/>
      <c r="AGJ1" s="434"/>
      <c r="AGK1" s="434"/>
      <c r="AGL1" s="434"/>
      <c r="AGM1" s="434"/>
      <c r="AGN1" s="434"/>
      <c r="AGO1" s="434"/>
      <c r="AGP1" s="434"/>
      <c r="AGQ1" s="434"/>
      <c r="AGR1" s="434"/>
      <c r="AGS1" s="434"/>
      <c r="AGT1" s="434"/>
      <c r="AGU1" s="434"/>
      <c r="AGV1" s="434"/>
      <c r="AGW1" s="434"/>
      <c r="AGX1" s="434"/>
      <c r="AGY1" s="434"/>
      <c r="AGZ1" s="434"/>
      <c r="AHA1" s="434"/>
      <c r="AHB1" s="434"/>
      <c r="AHC1" s="434"/>
      <c r="AHD1" s="434"/>
      <c r="AHE1" s="434"/>
      <c r="AHF1" s="434"/>
      <c r="AHG1" s="434"/>
      <c r="AHH1" s="434"/>
      <c r="AHI1" s="434"/>
      <c r="AHJ1" s="434"/>
      <c r="AHK1" s="434"/>
      <c r="AHL1" s="434"/>
      <c r="AHM1" s="434"/>
      <c r="AHN1" s="434"/>
      <c r="AHO1" s="434"/>
      <c r="AHP1" s="434"/>
      <c r="AHQ1" s="434"/>
      <c r="AHR1" s="434"/>
      <c r="AHS1" s="434"/>
      <c r="AHT1" s="434"/>
      <c r="AHU1" s="434"/>
      <c r="AHV1" s="434"/>
      <c r="AHW1" s="434"/>
      <c r="AHX1" s="434"/>
      <c r="AHY1" s="434"/>
      <c r="AHZ1" s="434"/>
      <c r="AIA1" s="434"/>
      <c r="AIB1" s="434"/>
      <c r="AIC1" s="434"/>
      <c r="AID1" s="434"/>
      <c r="AIE1" s="434"/>
      <c r="AIF1" s="434"/>
      <c r="AIG1" s="434"/>
      <c r="AIH1" s="434"/>
      <c r="AII1" s="434"/>
      <c r="AIJ1" s="434"/>
      <c r="AIK1" s="434"/>
      <c r="AIL1" s="434"/>
      <c r="AIM1" s="434"/>
      <c r="AIN1" s="434"/>
      <c r="AIO1" s="434"/>
      <c r="AIP1" s="434"/>
      <c r="AIQ1" s="434"/>
      <c r="AIR1" s="434"/>
      <c r="AIS1" s="434"/>
      <c r="AIT1" s="434"/>
      <c r="AIU1" s="434"/>
      <c r="AIV1" s="434"/>
      <c r="AIW1" s="434"/>
      <c r="AIX1" s="434"/>
      <c r="AIY1" s="434"/>
      <c r="AIZ1" s="434"/>
      <c r="AJA1" s="434"/>
      <c r="AJB1" s="434"/>
      <c r="AJC1" s="434"/>
      <c r="AJD1" s="434"/>
      <c r="AJE1" s="434"/>
      <c r="AJF1" s="434"/>
      <c r="AJG1" s="434"/>
      <c r="AJH1" s="434"/>
      <c r="AJI1" s="434"/>
      <c r="AJJ1" s="434"/>
      <c r="AJK1" s="434"/>
      <c r="AJL1" s="434"/>
      <c r="AJM1" s="434"/>
      <c r="AJN1" s="434"/>
      <c r="AJO1" s="434"/>
      <c r="AJP1" s="434"/>
      <c r="AJQ1" s="434"/>
      <c r="AJR1" s="434"/>
      <c r="AJS1" s="434"/>
      <c r="AJT1" s="434"/>
      <c r="AJU1" s="434"/>
      <c r="AJV1" s="434"/>
      <c r="AJW1" s="434"/>
      <c r="AJX1" s="434"/>
      <c r="AJY1" s="434"/>
      <c r="AJZ1" s="434"/>
      <c r="AKA1" s="434"/>
      <c r="AKB1" s="434"/>
      <c r="AKC1" s="434"/>
      <c r="AKD1" s="434"/>
      <c r="AKE1" s="434"/>
      <c r="AKF1" s="434"/>
      <c r="AKG1" s="434"/>
      <c r="AKH1" s="434"/>
      <c r="AKI1" s="434"/>
      <c r="AKJ1" s="434"/>
      <c r="AKK1" s="434"/>
      <c r="AKL1" s="434"/>
      <c r="AKM1" s="434"/>
      <c r="AKN1" s="434"/>
      <c r="AKO1" s="434"/>
      <c r="AKP1" s="434"/>
      <c r="AKQ1" s="434"/>
      <c r="AKR1" s="434"/>
      <c r="AKS1" s="434"/>
      <c r="AKT1" s="434"/>
      <c r="AKU1" s="434"/>
      <c r="AKV1" s="434"/>
      <c r="AKW1" s="434"/>
      <c r="AKX1" s="434"/>
      <c r="AKY1" s="434"/>
      <c r="AKZ1" s="434"/>
      <c r="ALA1" s="434"/>
      <c r="ALB1" s="434"/>
      <c r="ALC1" s="434"/>
      <c r="ALD1" s="434"/>
      <c r="ALE1" s="434"/>
      <c r="ALF1" s="434"/>
      <c r="ALG1" s="434"/>
      <c r="ALH1" s="434"/>
      <c r="ALI1" s="434"/>
      <c r="ALJ1" s="434"/>
      <c r="ALK1" s="434"/>
      <c r="ALL1" s="434"/>
      <c r="ALM1" s="434"/>
      <c r="ALN1" s="434"/>
      <c r="ALO1" s="434"/>
      <c r="ALP1" s="434"/>
      <c r="ALQ1" s="434"/>
      <c r="ALR1" s="434"/>
      <c r="ALS1" s="434"/>
      <c r="ALT1" s="434"/>
      <c r="ALU1" s="434"/>
      <c r="ALV1" s="434"/>
      <c r="ALW1" s="434"/>
      <c r="ALX1" s="434"/>
      <c r="ALY1" s="434"/>
      <c r="ALZ1" s="434"/>
      <c r="AMA1" s="434"/>
      <c r="AMB1" s="434"/>
      <c r="AMC1" s="434"/>
      <c r="AMD1" s="434"/>
      <c r="AME1" s="434"/>
      <c r="AMF1" s="434"/>
      <c r="AMG1" s="434"/>
      <c r="AMH1" s="434"/>
      <c r="AMI1" s="434"/>
      <c r="AMJ1" s="434"/>
      <c r="AMK1" s="434"/>
      <c r="AML1" s="434"/>
      <c r="AMM1" s="434"/>
      <c r="AMN1" s="434"/>
      <c r="AMO1" s="434"/>
      <c r="AMP1" s="434"/>
      <c r="AMQ1" s="434"/>
      <c r="AMR1" s="434"/>
      <c r="AMS1" s="434"/>
      <c r="AMT1" s="434"/>
      <c r="AMU1" s="434"/>
      <c r="AMV1" s="434"/>
      <c r="AMW1" s="434"/>
      <c r="AMX1" s="434"/>
      <c r="AMY1" s="434"/>
      <c r="AMZ1" s="434"/>
      <c r="ANA1" s="434"/>
      <c r="ANB1" s="434"/>
      <c r="ANC1" s="434"/>
      <c r="AND1" s="434"/>
      <c r="ANE1" s="434"/>
      <c r="ANF1" s="434"/>
      <c r="ANG1" s="434"/>
      <c r="ANH1" s="434"/>
      <c r="ANI1" s="434"/>
      <c r="ANJ1" s="434"/>
      <c r="ANK1" s="434"/>
      <c r="ANL1" s="434"/>
      <c r="ANM1" s="434"/>
      <c r="ANN1" s="434"/>
      <c r="ANO1" s="434"/>
      <c r="ANP1" s="434"/>
      <c r="ANQ1" s="434"/>
      <c r="ANR1" s="434"/>
      <c r="ANS1" s="434"/>
      <c r="ANT1" s="434"/>
      <c r="ANU1" s="434"/>
      <c r="ANV1" s="434"/>
      <c r="ANW1" s="434"/>
      <c r="ANX1" s="434"/>
      <c r="ANY1" s="434"/>
      <c r="ANZ1" s="434"/>
      <c r="AOA1" s="434"/>
      <c r="AOB1" s="434"/>
      <c r="AOC1" s="434"/>
      <c r="AOD1" s="434"/>
      <c r="AOE1" s="434"/>
      <c r="AOF1" s="434"/>
      <c r="AOG1" s="434"/>
      <c r="AOH1" s="434"/>
      <c r="AOI1" s="434"/>
      <c r="AOJ1" s="434"/>
      <c r="AOK1" s="434"/>
      <c r="AOL1" s="434"/>
      <c r="AOM1" s="434"/>
      <c r="AON1" s="434"/>
      <c r="AOO1" s="434"/>
      <c r="AOP1" s="434"/>
      <c r="AOQ1" s="434"/>
      <c r="AOR1" s="434"/>
      <c r="AOS1" s="434"/>
      <c r="AOT1" s="434"/>
      <c r="AOU1" s="434"/>
      <c r="AOV1" s="434"/>
      <c r="AOW1" s="434"/>
      <c r="AOX1" s="434"/>
      <c r="AOY1" s="434"/>
      <c r="AOZ1" s="434"/>
      <c r="APA1" s="434"/>
      <c r="APB1" s="434"/>
      <c r="APC1" s="434"/>
      <c r="APD1" s="434"/>
      <c r="APE1" s="434"/>
      <c r="APF1" s="434"/>
      <c r="APG1" s="434"/>
      <c r="APH1" s="434"/>
      <c r="API1" s="434"/>
      <c r="APJ1" s="434"/>
      <c r="APK1" s="434"/>
      <c r="APL1" s="434"/>
      <c r="APM1" s="434"/>
      <c r="APN1" s="434"/>
      <c r="APO1" s="434"/>
      <c r="APP1" s="434"/>
      <c r="APQ1" s="434"/>
      <c r="APR1" s="434"/>
      <c r="APS1" s="434"/>
      <c r="APT1" s="434"/>
      <c r="APU1" s="434"/>
      <c r="APV1" s="434"/>
      <c r="APW1" s="434"/>
      <c r="APX1" s="434"/>
      <c r="APY1" s="434"/>
      <c r="APZ1" s="434"/>
      <c r="AQA1" s="434"/>
      <c r="AQB1" s="434"/>
      <c r="AQC1" s="434"/>
      <c r="AQD1" s="434"/>
      <c r="AQE1" s="434"/>
      <c r="AQF1" s="434"/>
      <c r="AQG1" s="434"/>
      <c r="AQH1" s="434"/>
      <c r="AQI1" s="434"/>
      <c r="AQJ1" s="434"/>
      <c r="AQK1" s="434"/>
      <c r="AQL1" s="434"/>
      <c r="AQM1" s="434"/>
      <c r="AQN1" s="434"/>
      <c r="AQO1" s="434"/>
      <c r="AQP1" s="434"/>
      <c r="AQQ1" s="434"/>
      <c r="AQR1" s="434"/>
      <c r="AQS1" s="434"/>
      <c r="AQT1" s="434"/>
      <c r="AQU1" s="434"/>
      <c r="AQV1" s="434"/>
      <c r="AQW1" s="434"/>
      <c r="AQX1" s="434"/>
      <c r="AQY1" s="434"/>
      <c r="AQZ1" s="434"/>
      <c r="ARA1" s="434"/>
      <c r="ARB1" s="434"/>
      <c r="ARC1" s="434"/>
      <c r="ARD1" s="434"/>
      <c r="ARE1" s="434"/>
      <c r="ARF1" s="434"/>
      <c r="ARG1" s="434"/>
      <c r="ARH1" s="434"/>
      <c r="ARI1" s="434"/>
      <c r="ARJ1" s="434"/>
      <c r="ARK1" s="434"/>
      <c r="ARL1" s="434"/>
      <c r="ARM1" s="434"/>
      <c r="ARN1" s="434"/>
      <c r="ARO1" s="434"/>
      <c r="ARP1" s="434"/>
      <c r="ARQ1" s="434"/>
      <c r="ARR1" s="434"/>
      <c r="ARS1" s="434"/>
      <c r="ART1" s="434"/>
      <c r="ARU1" s="434"/>
      <c r="ARV1" s="434"/>
      <c r="ARW1" s="434"/>
      <c r="ARX1" s="434"/>
      <c r="ARY1" s="434"/>
      <c r="ARZ1" s="434"/>
      <c r="ASA1" s="434"/>
      <c r="ASB1" s="434"/>
      <c r="ASC1" s="434"/>
      <c r="ASD1" s="434"/>
      <c r="ASE1" s="434"/>
      <c r="ASF1" s="434"/>
      <c r="ASG1" s="434"/>
      <c r="ASH1" s="434"/>
      <c r="ASI1" s="434"/>
      <c r="ASJ1" s="434"/>
      <c r="ASK1" s="434"/>
      <c r="ASL1" s="434"/>
      <c r="ASM1" s="434"/>
      <c r="ASN1" s="434"/>
      <c r="ASO1" s="434"/>
      <c r="ASP1" s="434"/>
      <c r="ASQ1" s="434"/>
      <c r="ASR1" s="434"/>
      <c r="ASS1" s="434"/>
      <c r="AST1" s="434"/>
      <c r="ASU1" s="434"/>
      <c r="ASV1" s="434"/>
      <c r="ASW1" s="434"/>
      <c r="ASX1" s="434"/>
      <c r="ASY1" s="434"/>
      <c r="ASZ1" s="434"/>
      <c r="ATA1" s="434"/>
      <c r="ATB1" s="434"/>
      <c r="ATC1" s="434"/>
      <c r="ATD1" s="434"/>
      <c r="ATE1" s="434"/>
      <c r="ATF1" s="434"/>
      <c r="ATG1" s="434"/>
      <c r="ATH1" s="434"/>
      <c r="ATI1" s="434"/>
      <c r="ATJ1" s="434"/>
      <c r="ATK1" s="434"/>
      <c r="ATL1" s="434"/>
      <c r="ATM1" s="434"/>
      <c r="ATN1" s="434"/>
      <c r="ATO1" s="434"/>
      <c r="ATP1" s="434"/>
      <c r="ATQ1" s="434"/>
      <c r="ATR1" s="434"/>
      <c r="ATS1" s="434"/>
      <c r="ATT1" s="434"/>
      <c r="ATU1" s="434"/>
      <c r="ATV1" s="434"/>
      <c r="ATW1" s="434"/>
      <c r="ATX1" s="434"/>
      <c r="ATY1" s="434"/>
      <c r="ATZ1" s="434"/>
      <c r="AUA1" s="434"/>
      <c r="AUB1" s="434"/>
      <c r="AUC1" s="434"/>
      <c r="AUD1" s="434"/>
      <c r="AUE1" s="434"/>
      <c r="AUF1" s="434"/>
      <c r="AUG1" s="434"/>
      <c r="AUH1" s="434"/>
      <c r="AUI1" s="434"/>
      <c r="AUJ1" s="434"/>
      <c r="AUK1" s="434"/>
      <c r="AUL1" s="434"/>
      <c r="AUM1" s="434"/>
      <c r="AUN1" s="434"/>
      <c r="AUO1" s="434"/>
      <c r="AUP1" s="434"/>
      <c r="AUQ1" s="434"/>
      <c r="AUR1" s="434"/>
      <c r="AUS1" s="434"/>
      <c r="AUT1" s="434"/>
      <c r="AUU1" s="434"/>
      <c r="AUV1" s="434"/>
      <c r="AUW1" s="434"/>
      <c r="AUX1" s="434"/>
      <c r="AUY1" s="434"/>
      <c r="AUZ1" s="434"/>
      <c r="AVA1" s="434"/>
      <c r="AVB1" s="434"/>
      <c r="AVC1" s="434"/>
      <c r="AVD1" s="434"/>
      <c r="AVE1" s="434"/>
      <c r="AVF1" s="434"/>
      <c r="AVG1" s="434"/>
      <c r="AVH1" s="434"/>
      <c r="AVI1" s="434"/>
      <c r="AVJ1" s="434"/>
      <c r="AVK1" s="434"/>
      <c r="AVL1" s="434"/>
      <c r="AVM1" s="434"/>
      <c r="AVN1" s="434"/>
      <c r="AVO1" s="434"/>
      <c r="AVP1" s="434"/>
      <c r="AVQ1" s="434"/>
      <c r="AVR1" s="434"/>
      <c r="AVS1" s="434"/>
      <c r="AVT1" s="434"/>
      <c r="AVU1" s="434"/>
      <c r="AVV1" s="434"/>
      <c r="AVW1" s="434"/>
      <c r="AVX1" s="434"/>
      <c r="AVY1" s="434"/>
      <c r="AVZ1" s="434"/>
      <c r="AWA1" s="434"/>
      <c r="AWB1" s="434"/>
      <c r="AWC1" s="434"/>
      <c r="AWD1" s="434"/>
      <c r="AWE1" s="434"/>
      <c r="AWF1" s="434"/>
      <c r="AWG1" s="434"/>
      <c r="AWH1" s="434"/>
      <c r="AWI1" s="434"/>
      <c r="AWJ1" s="434"/>
      <c r="AWK1" s="434"/>
      <c r="AWL1" s="434"/>
      <c r="AWM1" s="434"/>
      <c r="AWN1" s="434"/>
      <c r="AWO1" s="434"/>
      <c r="AWP1" s="434"/>
      <c r="AWQ1" s="434"/>
      <c r="AWR1" s="434"/>
      <c r="AWS1" s="434"/>
      <c r="AWT1" s="434"/>
      <c r="AWU1" s="434"/>
      <c r="AWV1" s="434"/>
      <c r="AWW1" s="434"/>
      <c r="AWX1" s="434"/>
      <c r="AWY1" s="434"/>
      <c r="AWZ1" s="434"/>
      <c r="AXA1" s="434"/>
      <c r="AXB1" s="434"/>
      <c r="AXC1" s="434"/>
      <c r="AXD1" s="434"/>
      <c r="AXE1" s="434"/>
      <c r="AXF1" s="434"/>
      <c r="AXG1" s="434"/>
      <c r="AXH1" s="434"/>
      <c r="AXI1" s="434"/>
      <c r="AXJ1" s="434"/>
      <c r="AXK1" s="434"/>
      <c r="AXL1" s="434"/>
      <c r="AXM1" s="434"/>
      <c r="AXN1" s="434"/>
      <c r="AXO1" s="434"/>
      <c r="AXP1" s="434"/>
      <c r="AXQ1" s="434"/>
      <c r="AXR1" s="434"/>
      <c r="AXS1" s="434"/>
      <c r="AXT1" s="434"/>
      <c r="AXU1" s="434"/>
      <c r="AXV1" s="434"/>
      <c r="AXW1" s="434"/>
      <c r="AXX1" s="434"/>
      <c r="AXY1" s="434"/>
      <c r="AXZ1" s="434"/>
      <c r="AYA1" s="434"/>
      <c r="AYB1" s="434"/>
      <c r="AYC1" s="434"/>
      <c r="AYD1" s="434"/>
      <c r="AYE1" s="434"/>
      <c r="AYF1" s="434"/>
      <c r="AYG1" s="434"/>
      <c r="AYH1" s="434"/>
      <c r="AYI1" s="434"/>
      <c r="AYJ1" s="434"/>
      <c r="AYK1" s="434"/>
      <c r="AYL1" s="434"/>
      <c r="AYM1" s="434"/>
      <c r="AYN1" s="434"/>
      <c r="AYO1" s="434"/>
      <c r="AYP1" s="434"/>
      <c r="AYQ1" s="434"/>
      <c r="AYR1" s="434"/>
      <c r="AYS1" s="434"/>
      <c r="AYT1" s="434"/>
      <c r="AYU1" s="434"/>
      <c r="AYV1" s="434"/>
      <c r="AYW1" s="434"/>
      <c r="AYX1" s="434"/>
      <c r="AYY1" s="434"/>
      <c r="AYZ1" s="434"/>
      <c r="AZA1" s="434"/>
      <c r="AZB1" s="434"/>
      <c r="AZC1" s="434"/>
      <c r="AZD1" s="434"/>
      <c r="AZE1" s="434"/>
      <c r="AZF1" s="434"/>
      <c r="AZG1" s="434"/>
      <c r="AZH1" s="434"/>
      <c r="AZI1" s="434"/>
      <c r="AZJ1" s="434"/>
      <c r="AZK1" s="434"/>
      <c r="AZL1" s="434"/>
      <c r="AZM1" s="434"/>
      <c r="AZN1" s="434"/>
      <c r="AZO1" s="434"/>
      <c r="AZP1" s="434"/>
      <c r="AZQ1" s="434"/>
      <c r="AZR1" s="434"/>
      <c r="AZS1" s="434"/>
      <c r="AZT1" s="434"/>
      <c r="AZU1" s="434"/>
      <c r="AZV1" s="434"/>
      <c r="AZW1" s="434"/>
      <c r="AZX1" s="434"/>
      <c r="AZY1" s="434"/>
      <c r="AZZ1" s="434"/>
      <c r="BAA1" s="434"/>
      <c r="BAB1" s="434"/>
      <c r="BAC1" s="434"/>
      <c r="BAD1" s="434"/>
      <c r="BAE1" s="434"/>
      <c r="BAF1" s="434"/>
      <c r="BAG1" s="434"/>
      <c r="BAH1" s="434"/>
      <c r="BAI1" s="434"/>
      <c r="BAJ1" s="434"/>
      <c r="BAK1" s="434"/>
      <c r="BAL1" s="434"/>
      <c r="BAM1" s="434"/>
      <c r="BAN1" s="434"/>
      <c r="BAO1" s="434"/>
      <c r="BAP1" s="434"/>
      <c r="BAQ1" s="434"/>
      <c r="BAR1" s="434"/>
      <c r="BAS1" s="434"/>
      <c r="BAT1" s="434"/>
      <c r="BAU1" s="434"/>
      <c r="BAV1" s="434"/>
      <c r="BAW1" s="434"/>
      <c r="BAX1" s="434"/>
      <c r="BAY1" s="434"/>
      <c r="BAZ1" s="434"/>
      <c r="BBA1" s="434"/>
      <c r="BBB1" s="434"/>
      <c r="BBC1" s="434"/>
      <c r="BBD1" s="434"/>
      <c r="BBE1" s="434"/>
      <c r="BBF1" s="434"/>
      <c r="BBG1" s="434"/>
      <c r="BBH1" s="434"/>
      <c r="BBI1" s="434"/>
      <c r="BBJ1" s="434"/>
      <c r="BBK1" s="434"/>
      <c r="BBL1" s="434"/>
      <c r="BBM1" s="434"/>
      <c r="BBN1" s="434"/>
      <c r="BBO1" s="434"/>
      <c r="BBP1" s="434"/>
      <c r="BBQ1" s="434"/>
      <c r="BBR1" s="434"/>
      <c r="BBS1" s="434"/>
      <c r="BBT1" s="434"/>
      <c r="BBU1" s="434"/>
      <c r="BBV1" s="434"/>
      <c r="BBW1" s="434"/>
      <c r="BBX1" s="434"/>
      <c r="BBY1" s="434"/>
      <c r="BBZ1" s="434"/>
      <c r="BCA1" s="434"/>
      <c r="BCB1" s="434"/>
      <c r="BCC1" s="434"/>
      <c r="BCD1" s="434"/>
      <c r="BCE1" s="434"/>
      <c r="BCF1" s="434"/>
      <c r="BCG1" s="434"/>
      <c r="BCH1" s="434"/>
      <c r="BCI1" s="434"/>
      <c r="BCJ1" s="434"/>
      <c r="BCK1" s="434"/>
      <c r="BCL1" s="434"/>
      <c r="BCM1" s="434"/>
      <c r="BCN1" s="434"/>
      <c r="BCO1" s="434"/>
      <c r="BCP1" s="434"/>
      <c r="BCQ1" s="434"/>
      <c r="BCR1" s="434"/>
      <c r="BCS1" s="434"/>
      <c r="BCT1" s="434"/>
      <c r="BCU1" s="434"/>
      <c r="BCV1" s="434"/>
      <c r="BCW1" s="434"/>
      <c r="BCX1" s="434"/>
      <c r="BCY1" s="434"/>
      <c r="BCZ1" s="434"/>
      <c r="BDA1" s="434"/>
      <c r="BDB1" s="434"/>
      <c r="BDC1" s="434"/>
      <c r="BDD1" s="434"/>
      <c r="BDE1" s="434"/>
      <c r="BDF1" s="434"/>
      <c r="BDG1" s="434"/>
      <c r="BDH1" s="434"/>
      <c r="BDI1" s="434"/>
      <c r="BDJ1" s="434"/>
      <c r="BDK1" s="434"/>
      <c r="BDL1" s="434"/>
      <c r="BDM1" s="434"/>
      <c r="BDN1" s="434"/>
      <c r="BDO1" s="434"/>
      <c r="BDP1" s="434"/>
      <c r="BDQ1" s="434"/>
      <c r="BDR1" s="434"/>
      <c r="BDS1" s="434"/>
      <c r="BDT1" s="434"/>
      <c r="BDU1" s="434"/>
      <c r="BDV1" s="434"/>
      <c r="BDW1" s="434"/>
      <c r="BDX1" s="434"/>
      <c r="BDY1" s="434"/>
      <c r="BDZ1" s="434"/>
      <c r="BEA1" s="434"/>
      <c r="BEB1" s="434"/>
      <c r="BEC1" s="434"/>
      <c r="BED1" s="434"/>
      <c r="BEE1" s="434"/>
      <c r="BEF1" s="434"/>
      <c r="BEG1" s="434"/>
      <c r="BEH1" s="434"/>
      <c r="BEI1" s="434"/>
      <c r="BEJ1" s="434"/>
      <c r="BEK1" s="434"/>
      <c r="BEL1" s="434"/>
      <c r="BEM1" s="434"/>
      <c r="BEN1" s="434"/>
      <c r="BEO1" s="434"/>
      <c r="BEP1" s="434"/>
      <c r="BEQ1" s="434"/>
      <c r="BER1" s="434"/>
      <c r="BES1" s="434"/>
      <c r="BET1" s="434"/>
      <c r="BEU1" s="434"/>
      <c r="BEV1" s="434"/>
      <c r="BEW1" s="434"/>
      <c r="BEX1" s="434"/>
      <c r="BEY1" s="434"/>
      <c r="BEZ1" s="434"/>
      <c r="BFA1" s="434"/>
      <c r="BFB1" s="434"/>
      <c r="BFC1" s="434"/>
      <c r="BFD1" s="434"/>
      <c r="BFE1" s="434"/>
      <c r="BFF1" s="434"/>
      <c r="BFG1" s="434"/>
      <c r="BFH1" s="434"/>
      <c r="BFI1" s="434"/>
      <c r="BFJ1" s="434"/>
      <c r="BFK1" s="434"/>
      <c r="BFL1" s="434"/>
      <c r="BFM1" s="434"/>
      <c r="BFN1" s="434"/>
      <c r="BFO1" s="434"/>
      <c r="BFP1" s="434"/>
      <c r="BFQ1" s="434"/>
      <c r="BFR1" s="434"/>
      <c r="BFS1" s="434"/>
      <c r="BFT1" s="434"/>
      <c r="BFU1" s="434"/>
      <c r="BFV1" s="434"/>
      <c r="BFW1" s="434"/>
      <c r="BFX1" s="434"/>
      <c r="BFY1" s="434"/>
      <c r="BFZ1" s="434"/>
      <c r="BGA1" s="434"/>
      <c r="BGB1" s="434"/>
      <c r="BGC1" s="434"/>
      <c r="BGD1" s="434"/>
      <c r="BGE1" s="434"/>
      <c r="BGF1" s="434"/>
      <c r="BGG1" s="434"/>
      <c r="BGH1" s="434"/>
      <c r="BGI1" s="434"/>
      <c r="BGJ1" s="434"/>
      <c r="BGK1" s="434"/>
      <c r="BGL1" s="434"/>
      <c r="BGM1" s="434"/>
      <c r="BGN1" s="434"/>
      <c r="BGO1" s="434"/>
      <c r="BGP1" s="434"/>
      <c r="BGQ1" s="434"/>
      <c r="BGR1" s="434"/>
      <c r="BGS1" s="434"/>
      <c r="BGT1" s="434"/>
      <c r="BGU1" s="434"/>
      <c r="BGV1" s="434"/>
      <c r="BGW1" s="434"/>
      <c r="BGX1" s="434"/>
      <c r="BGY1" s="434"/>
      <c r="BGZ1" s="434"/>
      <c r="BHA1" s="434"/>
      <c r="BHB1" s="434"/>
      <c r="BHC1" s="434"/>
      <c r="BHD1" s="434"/>
      <c r="BHE1" s="434"/>
      <c r="BHF1" s="434"/>
      <c r="BHG1" s="434"/>
      <c r="BHH1" s="434"/>
      <c r="BHI1" s="434"/>
      <c r="BHJ1" s="434"/>
      <c r="BHK1" s="434"/>
      <c r="BHL1" s="434"/>
      <c r="BHM1" s="434"/>
      <c r="BHN1" s="434"/>
      <c r="BHO1" s="434"/>
      <c r="BHP1" s="434"/>
      <c r="BHQ1" s="434"/>
      <c r="BHR1" s="434"/>
      <c r="BHS1" s="434"/>
      <c r="BHT1" s="434"/>
      <c r="BHU1" s="434"/>
      <c r="BHV1" s="434"/>
      <c r="BHW1" s="434"/>
      <c r="BHX1" s="434"/>
      <c r="BHY1" s="434"/>
      <c r="BHZ1" s="434"/>
      <c r="BIA1" s="434"/>
      <c r="BIB1" s="434"/>
      <c r="BIC1" s="434"/>
      <c r="BID1" s="434"/>
      <c r="BIE1" s="434"/>
      <c r="BIF1" s="434"/>
      <c r="BIG1" s="434"/>
      <c r="BIH1" s="434"/>
      <c r="BII1" s="434"/>
      <c r="BIJ1" s="434"/>
      <c r="BIK1" s="434"/>
      <c r="BIL1" s="434"/>
      <c r="BIM1" s="434"/>
      <c r="BIN1" s="434"/>
      <c r="BIO1" s="434"/>
      <c r="BIP1" s="434"/>
      <c r="BIQ1" s="434"/>
      <c r="BIR1" s="434"/>
      <c r="BIS1" s="434"/>
      <c r="BIT1" s="434"/>
      <c r="BIU1" s="434"/>
      <c r="BIV1" s="434"/>
      <c r="BIW1" s="434"/>
      <c r="BIX1" s="434"/>
      <c r="BIY1" s="434"/>
      <c r="BIZ1" s="434"/>
      <c r="BJA1" s="434"/>
      <c r="BJB1" s="434"/>
      <c r="BJC1" s="434"/>
      <c r="BJD1" s="434"/>
      <c r="BJE1" s="434"/>
      <c r="BJF1" s="434"/>
      <c r="BJG1" s="434"/>
      <c r="BJH1" s="434"/>
      <c r="BJI1" s="434"/>
      <c r="BJJ1" s="434"/>
      <c r="BJK1" s="434"/>
      <c r="BJL1" s="434"/>
      <c r="BJM1" s="434"/>
      <c r="BJN1" s="434"/>
      <c r="BJO1" s="434"/>
      <c r="BJP1" s="434"/>
      <c r="BJQ1" s="434"/>
      <c r="BJR1" s="434"/>
      <c r="BJS1" s="434"/>
      <c r="BJT1" s="434"/>
      <c r="BJU1" s="434"/>
      <c r="BJV1" s="434"/>
      <c r="BJW1" s="434"/>
      <c r="BJX1" s="434"/>
      <c r="BJY1" s="434"/>
      <c r="BJZ1" s="434"/>
      <c r="BKA1" s="434"/>
      <c r="BKB1" s="434"/>
      <c r="BKC1" s="434"/>
      <c r="BKD1" s="434"/>
      <c r="BKE1" s="434"/>
      <c r="BKF1" s="434"/>
      <c r="BKG1" s="434"/>
      <c r="BKH1" s="434"/>
      <c r="BKI1" s="434"/>
      <c r="BKJ1" s="434"/>
      <c r="BKK1" s="434"/>
      <c r="BKL1" s="434"/>
      <c r="BKM1" s="434"/>
      <c r="BKN1" s="434"/>
      <c r="BKO1" s="434"/>
      <c r="BKP1" s="434"/>
      <c r="BKQ1" s="434"/>
      <c r="BKR1" s="434"/>
      <c r="BKS1" s="434"/>
      <c r="BKT1" s="434"/>
      <c r="BKU1" s="434"/>
      <c r="BKV1" s="434"/>
      <c r="BKW1" s="434"/>
      <c r="BKX1" s="434"/>
      <c r="BKY1" s="434"/>
      <c r="BKZ1" s="434"/>
      <c r="BLA1" s="434"/>
      <c r="BLB1" s="434"/>
      <c r="BLC1" s="434"/>
      <c r="BLD1" s="434"/>
      <c r="BLE1" s="434"/>
      <c r="BLF1" s="434"/>
      <c r="BLG1" s="434"/>
      <c r="BLH1" s="434"/>
      <c r="BLI1" s="434"/>
      <c r="BLJ1" s="434"/>
      <c r="BLK1" s="434"/>
      <c r="BLL1" s="434"/>
      <c r="BLM1" s="434"/>
      <c r="BLN1" s="434"/>
      <c r="BLO1" s="434"/>
      <c r="BLP1" s="434"/>
      <c r="BLQ1" s="434"/>
      <c r="BLR1" s="434"/>
      <c r="BLS1" s="434"/>
      <c r="BLT1" s="434"/>
      <c r="BLU1" s="434"/>
      <c r="BLV1" s="434"/>
      <c r="BLW1" s="434"/>
      <c r="BLX1" s="434"/>
      <c r="BLY1" s="434"/>
      <c r="BLZ1" s="434"/>
      <c r="BMA1" s="434"/>
      <c r="BMB1" s="434"/>
      <c r="BMC1" s="434"/>
      <c r="BMD1" s="434"/>
      <c r="BME1" s="434"/>
      <c r="BMF1" s="434"/>
      <c r="BMG1" s="434"/>
      <c r="BMH1" s="434"/>
      <c r="BMI1" s="434"/>
      <c r="BMJ1" s="434"/>
      <c r="BMK1" s="434"/>
      <c r="BML1" s="434"/>
      <c r="BMM1" s="434"/>
      <c r="BMN1" s="434"/>
      <c r="BMO1" s="434"/>
      <c r="BMP1" s="434"/>
      <c r="BMQ1" s="434"/>
      <c r="BMR1" s="434"/>
      <c r="BMS1" s="434"/>
      <c r="BMT1" s="434"/>
      <c r="BMU1" s="434"/>
      <c r="BMV1" s="434"/>
      <c r="BMW1" s="434"/>
      <c r="BMX1" s="434"/>
      <c r="BMY1" s="434"/>
      <c r="BMZ1" s="434"/>
      <c r="BNA1" s="434"/>
      <c r="BNB1" s="434"/>
      <c r="BNC1" s="434"/>
      <c r="BND1" s="434"/>
      <c r="BNE1" s="434"/>
      <c r="BNF1" s="434"/>
      <c r="BNG1" s="434"/>
      <c r="BNH1" s="434"/>
      <c r="BNI1" s="434"/>
      <c r="BNJ1" s="434"/>
      <c r="BNK1" s="434"/>
      <c r="BNL1" s="434"/>
      <c r="BNM1" s="434"/>
      <c r="BNN1" s="434"/>
      <c r="BNO1" s="434"/>
      <c r="BNP1" s="434"/>
      <c r="BNQ1" s="434"/>
      <c r="BNR1" s="434"/>
      <c r="BNS1" s="434"/>
      <c r="BNT1" s="434"/>
      <c r="BNU1" s="434"/>
      <c r="BNV1" s="434"/>
      <c r="BNW1" s="434"/>
      <c r="BNX1" s="434"/>
      <c r="BNY1" s="434"/>
      <c r="BNZ1" s="434"/>
      <c r="BOA1" s="434"/>
      <c r="BOB1" s="434"/>
      <c r="BOC1" s="434"/>
      <c r="BOD1" s="434"/>
      <c r="BOE1" s="434"/>
      <c r="BOF1" s="434"/>
      <c r="BOG1" s="434"/>
      <c r="BOH1" s="434"/>
      <c r="BOI1" s="434"/>
      <c r="BOJ1" s="434"/>
      <c r="BOK1" s="434"/>
      <c r="BOL1" s="434"/>
      <c r="BOM1" s="434"/>
      <c r="BON1" s="434"/>
      <c r="BOO1" s="434"/>
      <c r="BOP1" s="434"/>
      <c r="BOQ1" s="434"/>
      <c r="BOR1" s="434"/>
      <c r="BOS1" s="434"/>
      <c r="BOT1" s="434"/>
      <c r="BOU1" s="434"/>
      <c r="BOV1" s="434"/>
      <c r="BOW1" s="434"/>
      <c r="BOX1" s="434"/>
      <c r="BOY1" s="434"/>
      <c r="BOZ1" s="434"/>
      <c r="BPA1" s="434"/>
      <c r="BPB1" s="434"/>
      <c r="BPC1" s="434"/>
      <c r="BPD1" s="434"/>
      <c r="BPE1" s="434"/>
      <c r="BPF1" s="434"/>
      <c r="BPG1" s="434"/>
      <c r="BPH1" s="434"/>
      <c r="BPI1" s="434"/>
      <c r="BPJ1" s="434"/>
      <c r="BPK1" s="434"/>
      <c r="BPL1" s="434"/>
      <c r="BPM1" s="434"/>
      <c r="BPN1" s="434"/>
      <c r="BPO1" s="434"/>
      <c r="BPP1" s="434"/>
      <c r="BPQ1" s="434"/>
      <c r="BPR1" s="434"/>
      <c r="BPS1" s="434"/>
      <c r="BPT1" s="434"/>
      <c r="BPU1" s="434"/>
      <c r="BPV1" s="434"/>
      <c r="BPW1" s="434"/>
      <c r="BPX1" s="434"/>
      <c r="BPY1" s="434"/>
      <c r="BPZ1" s="434"/>
      <c r="BQA1" s="434"/>
      <c r="BQB1" s="434"/>
      <c r="BQC1" s="434"/>
      <c r="BQD1" s="434"/>
      <c r="BQE1" s="434"/>
      <c r="BQF1" s="434"/>
      <c r="BQG1" s="434"/>
      <c r="BQH1" s="434"/>
      <c r="BQI1" s="434"/>
      <c r="BQJ1" s="434"/>
      <c r="BQK1" s="434"/>
      <c r="BQL1" s="434"/>
      <c r="BQM1" s="434"/>
      <c r="BQN1" s="434"/>
      <c r="BQO1" s="434"/>
      <c r="BQP1" s="434"/>
      <c r="BQQ1" s="434"/>
      <c r="BQR1" s="434"/>
      <c r="BQS1" s="434"/>
      <c r="BQT1" s="434"/>
      <c r="BQU1" s="434"/>
      <c r="BQV1" s="434"/>
      <c r="BQW1" s="434"/>
      <c r="BQX1" s="434"/>
      <c r="BQY1" s="434"/>
      <c r="BQZ1" s="434"/>
      <c r="BRA1" s="434"/>
      <c r="BRB1" s="434"/>
      <c r="BRC1" s="434"/>
      <c r="BRD1" s="434"/>
      <c r="BRE1" s="434"/>
      <c r="BRF1" s="434"/>
      <c r="BRG1" s="434"/>
      <c r="BRH1" s="434"/>
      <c r="BRI1" s="434"/>
      <c r="BRJ1" s="434"/>
      <c r="BRK1" s="434"/>
      <c r="BRL1" s="434"/>
      <c r="BRM1" s="434"/>
      <c r="BRN1" s="434"/>
      <c r="BRO1" s="434"/>
      <c r="BRP1" s="434"/>
      <c r="BRQ1" s="434"/>
      <c r="BRR1" s="434"/>
      <c r="BRS1" s="434"/>
      <c r="BRT1" s="434"/>
      <c r="BRU1" s="434"/>
      <c r="BRV1" s="434"/>
      <c r="BRW1" s="434"/>
      <c r="BRX1" s="434"/>
      <c r="BRY1" s="434"/>
      <c r="BRZ1" s="434"/>
      <c r="BSA1" s="434"/>
      <c r="BSB1" s="434"/>
      <c r="BSC1" s="434"/>
      <c r="BSD1" s="434"/>
      <c r="BSE1" s="434"/>
      <c r="BSF1" s="434"/>
      <c r="BSG1" s="434"/>
      <c r="BSH1" s="434"/>
      <c r="BSI1" s="434"/>
      <c r="BSJ1" s="434"/>
      <c r="BSK1" s="434"/>
      <c r="BSL1" s="434"/>
      <c r="BSM1" s="434"/>
      <c r="BSN1" s="434"/>
      <c r="BSO1" s="434"/>
      <c r="BSP1" s="434"/>
      <c r="BSQ1" s="434"/>
      <c r="BSR1" s="434"/>
      <c r="BSS1" s="434"/>
      <c r="BST1" s="434"/>
      <c r="BSU1" s="434"/>
      <c r="BSV1" s="434"/>
      <c r="BSW1" s="434"/>
      <c r="BSX1" s="434"/>
      <c r="BSY1" s="434"/>
      <c r="BSZ1" s="434"/>
      <c r="BTA1" s="434"/>
      <c r="BTB1" s="434"/>
      <c r="BTC1" s="434"/>
      <c r="BTD1" s="434"/>
      <c r="BTE1" s="434"/>
      <c r="BTF1" s="434"/>
      <c r="BTG1" s="434"/>
      <c r="BTH1" s="434"/>
      <c r="BTI1" s="434"/>
      <c r="BTJ1" s="434"/>
      <c r="BTK1" s="434"/>
      <c r="BTL1" s="434"/>
      <c r="BTM1" s="434"/>
      <c r="BTN1" s="434"/>
      <c r="BTO1" s="434"/>
      <c r="BTP1" s="434"/>
      <c r="BTQ1" s="434"/>
      <c r="BTR1" s="434"/>
      <c r="BTS1" s="434"/>
      <c r="BTT1" s="434"/>
      <c r="BTU1" s="434"/>
      <c r="BTV1" s="434"/>
      <c r="BTW1" s="434"/>
      <c r="BTX1" s="434"/>
      <c r="BTY1" s="434"/>
      <c r="BTZ1" s="434"/>
      <c r="BUA1" s="434"/>
      <c r="BUB1" s="434"/>
      <c r="BUC1" s="434"/>
      <c r="BUD1" s="434"/>
      <c r="BUE1" s="434"/>
      <c r="BUF1" s="434"/>
      <c r="BUG1" s="434"/>
      <c r="BUH1" s="434"/>
      <c r="BUI1" s="434"/>
      <c r="BUJ1" s="434"/>
      <c r="BUK1" s="434"/>
      <c r="BUL1" s="434"/>
      <c r="BUM1" s="434"/>
      <c r="BUN1" s="434"/>
      <c r="BUO1" s="434"/>
      <c r="BUP1" s="434"/>
      <c r="BUQ1" s="434"/>
      <c r="BUR1" s="434"/>
      <c r="BUS1" s="434"/>
      <c r="BUT1" s="434"/>
      <c r="BUU1" s="434"/>
      <c r="BUV1" s="434"/>
      <c r="BUW1" s="434"/>
      <c r="BUX1" s="434"/>
      <c r="BUY1" s="434"/>
      <c r="BUZ1" s="434"/>
      <c r="BVA1" s="434"/>
      <c r="BVB1" s="434"/>
      <c r="BVC1" s="434"/>
      <c r="BVD1" s="434"/>
      <c r="BVE1" s="434"/>
      <c r="BVF1" s="434"/>
      <c r="BVG1" s="434"/>
      <c r="BVH1" s="434"/>
      <c r="BVI1" s="434"/>
      <c r="BVJ1" s="434"/>
      <c r="BVK1" s="434"/>
      <c r="BVL1" s="434"/>
      <c r="BVM1" s="434"/>
      <c r="BVN1" s="434"/>
      <c r="BVO1" s="434"/>
      <c r="BVP1" s="434"/>
      <c r="BVQ1" s="434"/>
      <c r="BVR1" s="434"/>
      <c r="BVS1" s="434"/>
      <c r="BVT1" s="434"/>
      <c r="BVU1" s="434"/>
      <c r="BVV1" s="434"/>
      <c r="BVW1" s="434"/>
      <c r="BVX1" s="434"/>
      <c r="BVY1" s="434"/>
      <c r="BVZ1" s="434"/>
      <c r="BWA1" s="434"/>
      <c r="BWB1" s="434"/>
      <c r="BWC1" s="434"/>
      <c r="BWD1" s="434"/>
      <c r="BWE1" s="434"/>
      <c r="BWF1" s="434"/>
      <c r="BWG1" s="434"/>
      <c r="BWH1" s="434"/>
      <c r="BWI1" s="434"/>
      <c r="BWJ1" s="434"/>
      <c r="BWK1" s="434"/>
      <c r="BWL1" s="434"/>
      <c r="BWM1" s="434"/>
      <c r="BWN1" s="434"/>
      <c r="BWO1" s="434"/>
      <c r="BWP1" s="434"/>
      <c r="BWQ1" s="434"/>
      <c r="BWR1" s="434"/>
      <c r="BWS1" s="434"/>
      <c r="BWT1" s="434"/>
      <c r="BWU1" s="434"/>
      <c r="BWV1" s="434"/>
      <c r="BWW1" s="434"/>
      <c r="BWX1" s="434"/>
      <c r="BWY1" s="434"/>
      <c r="BWZ1" s="434"/>
      <c r="BXA1" s="434"/>
      <c r="BXB1" s="434"/>
      <c r="BXC1" s="434"/>
      <c r="BXD1" s="434"/>
      <c r="BXE1" s="434"/>
      <c r="BXF1" s="434"/>
      <c r="BXG1" s="434"/>
      <c r="BXH1" s="434"/>
      <c r="BXI1" s="434"/>
      <c r="BXJ1" s="434"/>
      <c r="BXK1" s="434"/>
      <c r="BXL1" s="434"/>
      <c r="BXM1" s="434"/>
      <c r="BXN1" s="434"/>
      <c r="BXO1" s="434"/>
      <c r="BXP1" s="434"/>
      <c r="BXQ1" s="434"/>
      <c r="BXR1" s="434"/>
      <c r="BXS1" s="434"/>
      <c r="BXT1" s="434"/>
      <c r="BXU1" s="434"/>
      <c r="BXV1" s="434"/>
      <c r="BXW1" s="434"/>
      <c r="BXX1" s="434"/>
      <c r="BXY1" s="434"/>
      <c r="BXZ1" s="434"/>
      <c r="BYA1" s="434"/>
      <c r="BYB1" s="434"/>
      <c r="BYC1" s="434"/>
      <c r="BYD1" s="434"/>
      <c r="BYE1" s="434"/>
      <c r="BYF1" s="434"/>
      <c r="BYG1" s="434"/>
      <c r="BYH1" s="434"/>
      <c r="BYI1" s="434"/>
      <c r="BYJ1" s="434"/>
      <c r="BYK1" s="434"/>
      <c r="BYL1" s="434"/>
      <c r="BYM1" s="434"/>
      <c r="BYN1" s="434"/>
      <c r="BYO1" s="434"/>
      <c r="BYP1" s="434"/>
      <c r="BYQ1" s="434"/>
      <c r="BYR1" s="434"/>
      <c r="BYS1" s="434"/>
      <c r="BYT1" s="434"/>
      <c r="BYU1" s="434"/>
      <c r="BYV1" s="434"/>
      <c r="BYW1" s="434"/>
      <c r="BYX1" s="434"/>
      <c r="BYY1" s="434"/>
      <c r="BYZ1" s="434"/>
      <c r="BZA1" s="434"/>
      <c r="BZB1" s="434"/>
      <c r="BZC1" s="434"/>
      <c r="BZD1" s="434"/>
      <c r="BZE1" s="434"/>
      <c r="BZF1" s="434"/>
      <c r="BZG1" s="434"/>
      <c r="BZH1" s="434"/>
      <c r="BZI1" s="434"/>
      <c r="BZJ1" s="434"/>
      <c r="BZK1" s="434"/>
      <c r="BZL1" s="434"/>
      <c r="BZM1" s="434"/>
      <c r="BZN1" s="434"/>
      <c r="BZO1" s="434"/>
      <c r="BZP1" s="434"/>
      <c r="BZQ1" s="434"/>
      <c r="BZR1" s="434"/>
      <c r="BZS1" s="434"/>
      <c r="BZT1" s="434"/>
      <c r="BZU1" s="434"/>
      <c r="BZV1" s="434"/>
      <c r="BZW1" s="434"/>
      <c r="BZX1" s="434"/>
      <c r="BZY1" s="434"/>
      <c r="BZZ1" s="434"/>
      <c r="CAA1" s="434"/>
      <c r="CAB1" s="434"/>
      <c r="CAC1" s="434"/>
      <c r="CAD1" s="434"/>
      <c r="CAE1" s="434"/>
      <c r="CAF1" s="434"/>
      <c r="CAG1" s="434"/>
      <c r="CAH1" s="434"/>
      <c r="CAI1" s="434"/>
      <c r="CAJ1" s="434"/>
      <c r="CAK1" s="434"/>
      <c r="CAL1" s="434"/>
      <c r="CAM1" s="434"/>
      <c r="CAN1" s="434"/>
      <c r="CAO1" s="434"/>
      <c r="CAP1" s="434"/>
      <c r="CAQ1" s="434"/>
      <c r="CAR1" s="434"/>
      <c r="CAS1" s="434"/>
      <c r="CAT1" s="434"/>
      <c r="CAU1" s="434"/>
      <c r="CAV1" s="434"/>
      <c r="CAW1" s="434"/>
      <c r="CAX1" s="434"/>
      <c r="CAY1" s="434"/>
      <c r="CAZ1" s="434"/>
      <c r="CBA1" s="434"/>
      <c r="CBB1" s="434"/>
      <c r="CBC1" s="434"/>
      <c r="CBD1" s="434"/>
      <c r="CBE1" s="434"/>
      <c r="CBF1" s="434"/>
      <c r="CBG1" s="434"/>
      <c r="CBH1" s="434"/>
      <c r="CBI1" s="434"/>
      <c r="CBJ1" s="434"/>
      <c r="CBK1" s="434"/>
      <c r="CBL1" s="434"/>
      <c r="CBM1" s="434"/>
      <c r="CBN1" s="434"/>
      <c r="CBO1" s="434"/>
      <c r="CBP1" s="434"/>
      <c r="CBQ1" s="434"/>
      <c r="CBR1" s="434"/>
      <c r="CBS1" s="434"/>
      <c r="CBT1" s="434"/>
      <c r="CBU1" s="434"/>
      <c r="CBV1" s="434"/>
      <c r="CBW1" s="434"/>
      <c r="CBX1" s="434"/>
      <c r="CBY1" s="434"/>
      <c r="CBZ1" s="434"/>
      <c r="CCA1" s="434"/>
      <c r="CCB1" s="434"/>
      <c r="CCC1" s="434"/>
      <c r="CCD1" s="434"/>
      <c r="CCE1" s="434"/>
      <c r="CCF1" s="434"/>
      <c r="CCG1" s="434"/>
      <c r="CCH1" s="434"/>
      <c r="CCI1" s="434"/>
      <c r="CCJ1" s="434"/>
      <c r="CCK1" s="434"/>
      <c r="CCL1" s="434"/>
      <c r="CCM1" s="434"/>
      <c r="CCN1" s="434"/>
      <c r="CCO1" s="434"/>
      <c r="CCP1" s="434"/>
      <c r="CCQ1" s="434"/>
      <c r="CCR1" s="434"/>
      <c r="CCS1" s="434"/>
      <c r="CCT1" s="434"/>
      <c r="CCU1" s="434"/>
      <c r="CCV1" s="434"/>
      <c r="CCW1" s="434"/>
      <c r="CCX1" s="434"/>
      <c r="CCY1" s="434"/>
      <c r="CCZ1" s="434"/>
      <c r="CDA1" s="434"/>
      <c r="CDB1" s="434"/>
      <c r="CDC1" s="434"/>
      <c r="CDD1" s="434"/>
      <c r="CDE1" s="434"/>
      <c r="CDF1" s="434"/>
      <c r="CDG1" s="434"/>
      <c r="CDH1" s="434"/>
      <c r="CDI1" s="434"/>
      <c r="CDJ1" s="434"/>
      <c r="CDK1" s="434"/>
      <c r="CDL1" s="434"/>
      <c r="CDM1" s="434"/>
      <c r="CDN1" s="434"/>
      <c r="CDO1" s="434"/>
      <c r="CDP1" s="434"/>
      <c r="CDQ1" s="434"/>
      <c r="CDR1" s="434"/>
      <c r="CDS1" s="434"/>
      <c r="CDT1" s="434"/>
      <c r="CDU1" s="434"/>
      <c r="CDV1" s="434"/>
      <c r="CDW1" s="434"/>
      <c r="CDX1" s="434"/>
      <c r="CDY1" s="434"/>
      <c r="CDZ1" s="434"/>
      <c r="CEA1" s="434"/>
      <c r="CEB1" s="434"/>
      <c r="CEC1" s="434"/>
      <c r="CED1" s="434"/>
      <c r="CEE1" s="434"/>
      <c r="CEF1" s="434"/>
      <c r="CEG1" s="434"/>
      <c r="CEH1" s="434"/>
      <c r="CEI1" s="434"/>
      <c r="CEJ1" s="434"/>
      <c r="CEK1" s="434"/>
      <c r="CEL1" s="434"/>
      <c r="CEM1" s="434"/>
      <c r="CEN1" s="434"/>
      <c r="CEO1" s="434"/>
      <c r="CEP1" s="434"/>
      <c r="CEQ1" s="434"/>
      <c r="CER1" s="434"/>
      <c r="CES1" s="434"/>
      <c r="CET1" s="434"/>
      <c r="CEU1" s="434"/>
      <c r="CEV1" s="434"/>
      <c r="CEW1" s="434"/>
      <c r="CEX1" s="434"/>
      <c r="CEY1" s="434"/>
      <c r="CEZ1" s="434"/>
      <c r="CFA1" s="434"/>
      <c r="CFB1" s="434"/>
      <c r="CFC1" s="434"/>
      <c r="CFD1" s="434"/>
      <c r="CFE1" s="434"/>
      <c r="CFF1" s="434"/>
      <c r="CFG1" s="434"/>
      <c r="CFH1" s="434"/>
      <c r="CFI1" s="434"/>
      <c r="CFJ1" s="434"/>
      <c r="CFK1" s="434"/>
      <c r="CFL1" s="434"/>
      <c r="CFM1" s="434"/>
      <c r="CFN1" s="434"/>
      <c r="CFO1" s="434"/>
      <c r="CFP1" s="434"/>
      <c r="CFQ1" s="434"/>
      <c r="CFR1" s="434"/>
      <c r="CFS1" s="434"/>
      <c r="CFT1" s="434"/>
      <c r="CFU1" s="434"/>
      <c r="CFV1" s="434"/>
      <c r="CFW1" s="434"/>
      <c r="CFX1" s="434"/>
      <c r="CFY1" s="434"/>
      <c r="CFZ1" s="434"/>
      <c r="CGA1" s="434"/>
      <c r="CGB1" s="434"/>
      <c r="CGC1" s="434"/>
      <c r="CGD1" s="434"/>
      <c r="CGE1" s="434"/>
      <c r="CGF1" s="434"/>
      <c r="CGG1" s="434"/>
      <c r="CGH1" s="434"/>
      <c r="CGI1" s="434"/>
      <c r="CGJ1" s="434"/>
      <c r="CGK1" s="434"/>
      <c r="CGL1" s="434"/>
      <c r="CGM1" s="434"/>
      <c r="CGN1" s="434"/>
      <c r="CGO1" s="434"/>
      <c r="CGP1" s="434"/>
      <c r="CGQ1" s="434"/>
      <c r="CGR1" s="434"/>
      <c r="CGS1" s="434"/>
      <c r="CGT1" s="434"/>
      <c r="CGU1" s="434"/>
      <c r="CGV1" s="434"/>
      <c r="CGW1" s="434"/>
      <c r="CGX1" s="434"/>
      <c r="CGY1" s="434"/>
      <c r="CGZ1" s="434"/>
      <c r="CHA1" s="434"/>
      <c r="CHB1" s="434"/>
      <c r="CHC1" s="434"/>
      <c r="CHD1" s="434"/>
      <c r="CHE1" s="434"/>
      <c r="CHF1" s="434"/>
      <c r="CHG1" s="434"/>
      <c r="CHH1" s="434"/>
      <c r="CHI1" s="434"/>
      <c r="CHJ1" s="434"/>
      <c r="CHK1" s="434"/>
      <c r="CHL1" s="434"/>
      <c r="CHM1" s="434"/>
      <c r="CHN1" s="434"/>
      <c r="CHO1" s="434"/>
      <c r="CHP1" s="434"/>
      <c r="CHQ1" s="434"/>
      <c r="CHR1" s="434"/>
      <c r="CHS1" s="434"/>
      <c r="CHT1" s="434"/>
      <c r="CHU1" s="434"/>
      <c r="CHV1" s="434"/>
      <c r="CHW1" s="434"/>
      <c r="CHX1" s="434"/>
      <c r="CHY1" s="434"/>
      <c r="CHZ1" s="434"/>
      <c r="CIA1" s="434"/>
      <c r="CIB1" s="434"/>
      <c r="CIC1" s="434"/>
      <c r="CID1" s="434"/>
      <c r="CIE1" s="434"/>
      <c r="CIF1" s="434"/>
      <c r="CIG1" s="434"/>
      <c r="CIH1" s="434"/>
      <c r="CII1" s="434"/>
      <c r="CIJ1" s="434"/>
      <c r="CIK1" s="434"/>
      <c r="CIL1" s="434"/>
      <c r="CIM1" s="434"/>
      <c r="CIN1" s="434"/>
      <c r="CIO1" s="434"/>
      <c r="CIP1" s="434"/>
      <c r="CIQ1" s="434"/>
      <c r="CIR1" s="434"/>
      <c r="CIS1" s="434"/>
      <c r="CIT1" s="434"/>
      <c r="CIU1" s="434"/>
      <c r="CIV1" s="434"/>
      <c r="CIW1" s="434"/>
      <c r="CIX1" s="434"/>
      <c r="CIY1" s="434"/>
      <c r="CIZ1" s="434"/>
      <c r="CJA1" s="434"/>
      <c r="CJB1" s="434"/>
      <c r="CJC1" s="434"/>
      <c r="CJD1" s="434"/>
      <c r="CJE1" s="434"/>
      <c r="CJF1" s="434"/>
      <c r="CJG1" s="434"/>
      <c r="CJH1" s="434"/>
      <c r="CJI1" s="434"/>
      <c r="CJJ1" s="434"/>
      <c r="CJK1" s="434"/>
      <c r="CJL1" s="434"/>
      <c r="CJM1" s="434"/>
      <c r="CJN1" s="434"/>
      <c r="CJO1" s="434"/>
      <c r="CJP1" s="434"/>
      <c r="CJQ1" s="434"/>
      <c r="CJR1" s="434"/>
      <c r="CJS1" s="434"/>
      <c r="CJT1" s="434"/>
      <c r="CJU1" s="434"/>
      <c r="CJV1" s="434"/>
      <c r="CJW1" s="434"/>
      <c r="CJX1" s="434"/>
      <c r="CJY1" s="434"/>
      <c r="CJZ1" s="434"/>
      <c r="CKA1" s="434"/>
      <c r="CKB1" s="434"/>
      <c r="CKC1" s="434"/>
      <c r="CKD1" s="434"/>
      <c r="CKE1" s="434"/>
      <c r="CKF1" s="434"/>
      <c r="CKG1" s="434"/>
      <c r="CKH1" s="434"/>
      <c r="CKI1" s="434"/>
      <c r="CKJ1" s="434"/>
      <c r="CKK1" s="434"/>
      <c r="CKL1" s="434"/>
      <c r="CKM1" s="434"/>
      <c r="CKN1" s="434"/>
      <c r="CKO1" s="434"/>
      <c r="CKP1" s="434"/>
      <c r="CKQ1" s="434"/>
      <c r="CKR1" s="434"/>
      <c r="CKS1" s="434"/>
      <c r="CKT1" s="434"/>
      <c r="CKU1" s="434"/>
      <c r="CKV1" s="434"/>
      <c r="CKW1" s="434"/>
      <c r="CKX1" s="434"/>
      <c r="CKY1" s="434"/>
      <c r="CKZ1" s="434"/>
      <c r="CLA1" s="434"/>
      <c r="CLB1" s="434"/>
      <c r="CLC1" s="434"/>
      <c r="CLD1" s="434"/>
      <c r="CLE1" s="434"/>
      <c r="CLF1" s="434"/>
      <c r="CLG1" s="434"/>
      <c r="CLH1" s="434"/>
      <c r="CLI1" s="434"/>
      <c r="CLJ1" s="434"/>
      <c r="CLK1" s="434"/>
      <c r="CLL1" s="434"/>
      <c r="CLM1" s="434"/>
      <c r="CLN1" s="434"/>
      <c r="CLO1" s="434"/>
      <c r="CLP1" s="434"/>
      <c r="CLQ1" s="434"/>
      <c r="CLR1" s="434"/>
      <c r="CLS1" s="434"/>
      <c r="CLT1" s="434"/>
      <c r="CLU1" s="434"/>
      <c r="CLV1" s="434"/>
      <c r="CLW1" s="434"/>
      <c r="CLX1" s="434"/>
      <c r="CLY1" s="434"/>
      <c r="CLZ1" s="434"/>
      <c r="CMA1" s="434"/>
      <c r="CMB1" s="434"/>
      <c r="CMC1" s="434"/>
      <c r="CMD1" s="434"/>
      <c r="CME1" s="434"/>
      <c r="CMF1" s="434"/>
      <c r="CMG1" s="434"/>
      <c r="CMH1" s="434"/>
      <c r="CMI1" s="434"/>
      <c r="CMJ1" s="434"/>
      <c r="CMK1" s="434"/>
      <c r="CML1" s="434"/>
      <c r="CMM1" s="434"/>
      <c r="CMN1" s="434"/>
      <c r="CMO1" s="434"/>
      <c r="CMP1" s="434"/>
      <c r="CMQ1" s="434"/>
      <c r="CMR1" s="434"/>
      <c r="CMS1" s="434"/>
      <c r="CMT1" s="434"/>
      <c r="CMU1" s="434"/>
      <c r="CMV1" s="434"/>
      <c r="CMW1" s="434"/>
      <c r="CMX1" s="434"/>
      <c r="CMY1" s="434"/>
      <c r="CMZ1" s="434"/>
      <c r="CNA1" s="434"/>
      <c r="CNB1" s="434"/>
      <c r="CNC1" s="434"/>
      <c r="CND1" s="434"/>
      <c r="CNE1" s="434"/>
      <c r="CNF1" s="434"/>
      <c r="CNG1" s="434"/>
      <c r="CNH1" s="434"/>
      <c r="CNI1" s="434"/>
      <c r="CNJ1" s="434"/>
      <c r="CNK1" s="434"/>
      <c r="CNL1" s="434"/>
      <c r="CNM1" s="434"/>
      <c r="CNN1" s="434"/>
      <c r="CNO1" s="434"/>
      <c r="CNP1" s="434"/>
      <c r="CNQ1" s="434"/>
      <c r="CNR1" s="434"/>
      <c r="CNS1" s="434"/>
      <c r="CNT1" s="434"/>
      <c r="CNU1" s="434"/>
      <c r="CNV1" s="434"/>
      <c r="CNW1" s="434"/>
      <c r="CNX1" s="434"/>
      <c r="CNY1" s="434"/>
      <c r="CNZ1" s="434"/>
      <c r="COA1" s="434"/>
      <c r="COB1" s="434"/>
      <c r="COC1" s="434"/>
      <c r="COD1" s="434"/>
      <c r="COE1" s="434"/>
      <c r="COF1" s="434"/>
      <c r="COG1" s="434"/>
      <c r="COH1" s="434"/>
      <c r="COI1" s="434"/>
      <c r="COJ1" s="434"/>
      <c r="COK1" s="434"/>
      <c r="COL1" s="434"/>
      <c r="COM1" s="434"/>
      <c r="CON1" s="434"/>
      <c r="COO1" s="434"/>
      <c r="COP1" s="434"/>
      <c r="COQ1" s="434"/>
      <c r="COR1" s="434"/>
      <c r="COS1" s="434"/>
      <c r="COT1" s="434"/>
      <c r="COU1" s="434"/>
      <c r="COV1" s="434"/>
      <c r="COW1" s="434"/>
      <c r="COX1" s="434"/>
      <c r="COY1" s="434"/>
      <c r="COZ1" s="434"/>
      <c r="CPA1" s="434"/>
      <c r="CPB1" s="434"/>
      <c r="CPC1" s="434"/>
      <c r="CPD1" s="434"/>
      <c r="CPE1" s="434"/>
      <c r="CPF1" s="434"/>
      <c r="CPG1" s="434"/>
      <c r="CPH1" s="434"/>
      <c r="CPI1" s="434"/>
      <c r="CPJ1" s="434"/>
      <c r="CPK1" s="434"/>
      <c r="CPL1" s="434"/>
      <c r="CPM1" s="434"/>
      <c r="CPN1" s="434"/>
      <c r="CPO1" s="434"/>
      <c r="CPP1" s="434"/>
      <c r="CPQ1" s="434"/>
      <c r="CPR1" s="434"/>
      <c r="CPS1" s="434"/>
      <c r="CPT1" s="434"/>
      <c r="CPU1" s="434"/>
      <c r="CPV1" s="434"/>
      <c r="CPW1" s="434"/>
      <c r="CPX1" s="434"/>
      <c r="CPY1" s="434"/>
      <c r="CPZ1" s="434"/>
      <c r="CQA1" s="434"/>
      <c r="CQB1" s="434"/>
      <c r="CQC1" s="434"/>
      <c r="CQD1" s="434"/>
      <c r="CQE1" s="434"/>
      <c r="CQF1" s="434"/>
      <c r="CQG1" s="434"/>
      <c r="CQH1" s="434"/>
      <c r="CQI1" s="434"/>
      <c r="CQJ1" s="434"/>
      <c r="CQK1" s="434"/>
      <c r="CQL1" s="434"/>
      <c r="CQM1" s="434"/>
      <c r="CQN1" s="434"/>
      <c r="CQO1" s="434"/>
      <c r="CQP1" s="434"/>
      <c r="CQQ1" s="434"/>
      <c r="CQR1" s="434"/>
      <c r="CQS1" s="434"/>
      <c r="CQT1" s="434"/>
      <c r="CQU1" s="434"/>
      <c r="CQV1" s="434"/>
      <c r="CQW1" s="434"/>
      <c r="CQX1" s="434"/>
      <c r="CQY1" s="434"/>
      <c r="CQZ1" s="434"/>
      <c r="CRA1" s="434"/>
      <c r="CRB1" s="434"/>
      <c r="CRC1" s="434"/>
      <c r="CRD1" s="434"/>
      <c r="CRE1" s="434"/>
      <c r="CRF1" s="434"/>
      <c r="CRG1" s="434"/>
      <c r="CRH1" s="434"/>
      <c r="CRI1" s="434"/>
      <c r="CRJ1" s="434"/>
      <c r="CRK1" s="434"/>
      <c r="CRL1" s="434"/>
      <c r="CRM1" s="434"/>
      <c r="CRN1" s="434"/>
      <c r="CRO1" s="434"/>
      <c r="CRP1" s="434"/>
      <c r="CRQ1" s="434"/>
      <c r="CRR1" s="434"/>
      <c r="CRS1" s="434"/>
      <c r="CRT1" s="434"/>
      <c r="CRU1" s="434"/>
      <c r="CRV1" s="434"/>
      <c r="CRW1" s="434"/>
      <c r="CRX1" s="434"/>
      <c r="CRY1" s="434"/>
      <c r="CRZ1" s="434"/>
      <c r="CSA1" s="434"/>
      <c r="CSB1" s="434"/>
      <c r="CSC1" s="434"/>
      <c r="CSD1" s="434"/>
      <c r="CSE1" s="434"/>
      <c r="CSF1" s="434"/>
      <c r="CSG1" s="434"/>
      <c r="CSH1" s="434"/>
      <c r="CSI1" s="434"/>
      <c r="CSJ1" s="434"/>
      <c r="CSK1" s="434"/>
      <c r="CSL1" s="434"/>
      <c r="CSM1" s="434"/>
      <c r="CSN1" s="434"/>
      <c r="CSO1" s="434"/>
      <c r="CSP1" s="434"/>
      <c r="CSQ1" s="434"/>
      <c r="CSR1" s="434"/>
      <c r="CSS1" s="434"/>
      <c r="CST1" s="434"/>
      <c r="CSU1" s="434"/>
      <c r="CSV1" s="434"/>
      <c r="CSW1" s="434"/>
      <c r="CSX1" s="434"/>
      <c r="CSY1" s="434"/>
      <c r="CSZ1" s="434"/>
      <c r="CTA1" s="434"/>
      <c r="CTB1" s="434"/>
      <c r="CTC1" s="434"/>
      <c r="CTD1" s="434"/>
      <c r="CTE1" s="434"/>
      <c r="CTF1" s="434"/>
      <c r="CTG1" s="434"/>
      <c r="CTH1" s="434"/>
      <c r="CTI1" s="434"/>
      <c r="CTJ1" s="434"/>
      <c r="CTK1" s="434"/>
      <c r="CTL1" s="434"/>
      <c r="CTM1" s="434"/>
      <c r="CTN1" s="434"/>
      <c r="CTO1" s="434"/>
      <c r="CTP1" s="434"/>
      <c r="CTQ1" s="434"/>
      <c r="CTR1" s="434"/>
      <c r="CTS1" s="434"/>
      <c r="CTT1" s="434"/>
      <c r="CTU1" s="434"/>
      <c r="CTV1" s="434"/>
      <c r="CTW1" s="434"/>
      <c r="CTX1" s="434"/>
      <c r="CTY1" s="434"/>
      <c r="CTZ1" s="434"/>
      <c r="CUA1" s="434"/>
      <c r="CUB1" s="434"/>
      <c r="CUC1" s="434"/>
      <c r="CUD1" s="434"/>
      <c r="CUE1" s="434"/>
      <c r="CUF1" s="434"/>
      <c r="CUG1" s="434"/>
      <c r="CUH1" s="434"/>
      <c r="CUI1" s="434"/>
      <c r="CUJ1" s="434"/>
      <c r="CUK1" s="434"/>
      <c r="CUL1" s="434"/>
      <c r="CUM1" s="434"/>
      <c r="CUN1" s="434"/>
      <c r="CUO1" s="434"/>
      <c r="CUP1" s="434"/>
      <c r="CUQ1" s="434"/>
      <c r="CUR1" s="434"/>
      <c r="CUS1" s="434"/>
      <c r="CUT1" s="434"/>
      <c r="CUU1" s="434"/>
      <c r="CUV1" s="434"/>
      <c r="CUW1" s="434"/>
      <c r="CUX1" s="434"/>
      <c r="CUY1" s="434"/>
      <c r="CUZ1" s="434"/>
      <c r="CVA1" s="434"/>
      <c r="CVB1" s="434"/>
      <c r="CVC1" s="434"/>
      <c r="CVD1" s="434"/>
      <c r="CVE1" s="434"/>
      <c r="CVF1" s="434"/>
      <c r="CVG1" s="434"/>
      <c r="CVH1" s="434"/>
      <c r="CVI1" s="434"/>
      <c r="CVJ1" s="434"/>
      <c r="CVK1" s="434"/>
      <c r="CVL1" s="434"/>
      <c r="CVM1" s="434"/>
      <c r="CVN1" s="434"/>
      <c r="CVO1" s="434"/>
      <c r="CVP1" s="434"/>
      <c r="CVQ1" s="434"/>
      <c r="CVR1" s="434"/>
      <c r="CVS1" s="434"/>
      <c r="CVT1" s="434"/>
      <c r="CVU1" s="434"/>
      <c r="CVV1" s="434"/>
      <c r="CVW1" s="434"/>
      <c r="CVX1" s="434"/>
      <c r="CVY1" s="434"/>
      <c r="CVZ1" s="434"/>
      <c r="CWA1" s="434"/>
      <c r="CWB1" s="434"/>
      <c r="CWC1" s="434"/>
      <c r="CWD1" s="434"/>
      <c r="CWE1" s="434"/>
      <c r="CWF1" s="434"/>
      <c r="CWG1" s="434"/>
      <c r="CWH1" s="434"/>
      <c r="CWI1" s="434"/>
      <c r="CWJ1" s="434"/>
      <c r="CWK1" s="434"/>
      <c r="CWL1" s="434"/>
      <c r="CWM1" s="434"/>
      <c r="CWN1" s="434"/>
      <c r="CWO1" s="434"/>
      <c r="CWP1" s="434"/>
      <c r="CWQ1" s="434"/>
      <c r="CWR1" s="434"/>
      <c r="CWS1" s="434"/>
      <c r="CWT1" s="434"/>
      <c r="CWU1" s="434"/>
      <c r="CWV1" s="434"/>
      <c r="CWW1" s="434"/>
      <c r="CWX1" s="434"/>
      <c r="CWY1" s="434"/>
      <c r="CWZ1" s="434"/>
      <c r="CXA1" s="434"/>
      <c r="CXB1" s="434"/>
      <c r="CXC1" s="434"/>
      <c r="CXD1" s="434"/>
      <c r="CXE1" s="434"/>
      <c r="CXF1" s="434"/>
      <c r="CXG1" s="434"/>
      <c r="CXH1" s="434"/>
      <c r="CXI1" s="434"/>
      <c r="CXJ1" s="434"/>
      <c r="CXK1" s="434"/>
      <c r="CXL1" s="434"/>
      <c r="CXM1" s="434"/>
      <c r="CXN1" s="434"/>
      <c r="CXO1" s="434"/>
      <c r="CXP1" s="434"/>
      <c r="CXQ1" s="434"/>
      <c r="CXR1" s="434"/>
      <c r="CXS1" s="434"/>
      <c r="CXT1" s="434"/>
      <c r="CXU1" s="434"/>
      <c r="CXV1" s="434"/>
      <c r="CXW1" s="434"/>
      <c r="CXX1" s="434"/>
      <c r="CXY1" s="434"/>
      <c r="CXZ1" s="434"/>
      <c r="CYA1" s="434"/>
      <c r="CYB1" s="434"/>
      <c r="CYC1" s="434"/>
      <c r="CYD1" s="434"/>
      <c r="CYE1" s="434"/>
      <c r="CYF1" s="434"/>
      <c r="CYG1" s="434"/>
      <c r="CYH1" s="434"/>
      <c r="CYI1" s="434"/>
      <c r="CYJ1" s="434"/>
      <c r="CYK1" s="434"/>
      <c r="CYL1" s="434"/>
      <c r="CYM1" s="434"/>
      <c r="CYN1" s="434"/>
      <c r="CYO1" s="434"/>
      <c r="CYP1" s="434"/>
      <c r="CYQ1" s="434"/>
      <c r="CYR1" s="434"/>
      <c r="CYS1" s="434"/>
      <c r="CYT1" s="434"/>
      <c r="CYU1" s="434"/>
      <c r="CYV1" s="434"/>
      <c r="CYW1" s="434"/>
      <c r="CYX1" s="434"/>
      <c r="CYY1" s="434"/>
      <c r="CYZ1" s="434"/>
      <c r="CZA1" s="434"/>
      <c r="CZB1" s="434"/>
      <c r="CZC1" s="434"/>
      <c r="CZD1" s="434"/>
      <c r="CZE1" s="434"/>
      <c r="CZF1" s="434"/>
      <c r="CZG1" s="434"/>
      <c r="CZH1" s="434"/>
      <c r="CZI1" s="434"/>
      <c r="CZJ1" s="434"/>
      <c r="CZK1" s="434"/>
      <c r="CZL1" s="434"/>
      <c r="CZM1" s="434"/>
      <c r="CZN1" s="434"/>
      <c r="CZO1" s="434"/>
      <c r="CZP1" s="434"/>
      <c r="CZQ1" s="434"/>
      <c r="CZR1" s="434"/>
      <c r="CZS1" s="434"/>
      <c r="CZT1" s="434"/>
      <c r="CZU1" s="434"/>
      <c r="CZV1" s="434"/>
      <c r="CZW1" s="434"/>
      <c r="CZX1" s="434"/>
      <c r="CZY1" s="434"/>
      <c r="CZZ1" s="434"/>
      <c r="DAA1" s="434"/>
      <c r="DAB1" s="434"/>
      <c r="DAC1" s="434"/>
      <c r="DAD1" s="434"/>
      <c r="DAE1" s="434"/>
      <c r="DAF1" s="434"/>
      <c r="DAG1" s="434"/>
      <c r="DAH1" s="434"/>
      <c r="DAI1" s="434"/>
      <c r="DAJ1" s="434"/>
      <c r="DAK1" s="434"/>
      <c r="DAL1" s="434"/>
      <c r="DAM1" s="434"/>
      <c r="DAN1" s="434"/>
      <c r="DAO1" s="434"/>
      <c r="DAP1" s="434"/>
      <c r="DAQ1" s="434"/>
      <c r="DAR1" s="434"/>
      <c r="DAS1" s="434"/>
      <c r="DAT1" s="434"/>
      <c r="DAU1" s="434"/>
      <c r="DAV1" s="434"/>
      <c r="DAW1" s="434"/>
      <c r="DAX1" s="434"/>
      <c r="DAY1" s="434"/>
      <c r="DAZ1" s="434"/>
      <c r="DBA1" s="434"/>
      <c r="DBB1" s="434"/>
      <c r="DBC1" s="434"/>
      <c r="DBD1" s="434"/>
      <c r="DBE1" s="434"/>
      <c r="DBF1" s="434"/>
      <c r="DBG1" s="434"/>
      <c r="DBH1" s="434"/>
      <c r="DBI1" s="434"/>
      <c r="DBJ1" s="434"/>
      <c r="DBK1" s="434"/>
      <c r="DBL1" s="434"/>
      <c r="DBM1" s="434"/>
      <c r="DBN1" s="434"/>
      <c r="DBO1" s="434"/>
      <c r="DBP1" s="434"/>
      <c r="DBQ1" s="434"/>
      <c r="DBR1" s="434"/>
      <c r="DBS1" s="434"/>
      <c r="DBT1" s="434"/>
      <c r="DBU1" s="434"/>
      <c r="DBV1" s="434"/>
      <c r="DBW1" s="434"/>
      <c r="DBX1" s="434"/>
      <c r="DBY1" s="434"/>
      <c r="DBZ1" s="434"/>
      <c r="DCA1" s="434"/>
      <c r="DCB1" s="434"/>
      <c r="DCC1" s="434"/>
      <c r="DCD1" s="434"/>
      <c r="DCE1" s="434"/>
      <c r="DCF1" s="434"/>
      <c r="DCG1" s="434"/>
      <c r="DCH1" s="434"/>
      <c r="DCI1" s="434"/>
      <c r="DCJ1" s="434"/>
      <c r="DCK1" s="434"/>
      <c r="DCL1" s="434"/>
      <c r="DCM1" s="434"/>
      <c r="DCN1" s="434"/>
      <c r="DCO1" s="434"/>
      <c r="DCP1" s="434"/>
      <c r="DCQ1" s="434"/>
      <c r="DCR1" s="434"/>
      <c r="DCS1" s="434"/>
      <c r="DCT1" s="434"/>
      <c r="DCU1" s="434"/>
      <c r="DCV1" s="434"/>
      <c r="DCW1" s="434"/>
      <c r="DCX1" s="434"/>
      <c r="DCY1" s="434"/>
      <c r="DCZ1" s="434"/>
      <c r="DDA1" s="434"/>
      <c r="DDB1" s="434"/>
      <c r="DDC1" s="434"/>
      <c r="DDD1" s="434"/>
      <c r="DDE1" s="434"/>
      <c r="DDF1" s="434"/>
      <c r="DDG1" s="434"/>
      <c r="DDH1" s="434"/>
      <c r="DDI1" s="434"/>
      <c r="DDJ1" s="434"/>
      <c r="DDK1" s="434"/>
      <c r="DDL1" s="434"/>
      <c r="DDM1" s="434"/>
      <c r="DDN1" s="434"/>
      <c r="DDO1" s="434"/>
      <c r="DDP1" s="434"/>
      <c r="DDQ1" s="434"/>
      <c r="DDR1" s="434"/>
      <c r="DDS1" s="434"/>
      <c r="DDT1" s="434"/>
      <c r="DDU1" s="434"/>
      <c r="DDV1" s="434"/>
      <c r="DDW1" s="434"/>
      <c r="DDX1" s="434"/>
      <c r="DDY1" s="434"/>
      <c r="DDZ1" s="434"/>
      <c r="DEA1" s="434"/>
      <c r="DEB1" s="434"/>
      <c r="DEC1" s="434"/>
      <c r="DED1" s="434"/>
      <c r="DEE1" s="434"/>
      <c r="DEF1" s="434"/>
      <c r="DEG1" s="434"/>
      <c r="DEH1" s="434"/>
      <c r="DEI1" s="434"/>
      <c r="DEJ1" s="434"/>
      <c r="DEK1" s="434"/>
      <c r="DEL1" s="434"/>
      <c r="DEM1" s="434"/>
      <c r="DEN1" s="434"/>
      <c r="DEO1" s="434"/>
      <c r="DEP1" s="434"/>
      <c r="DEQ1" s="434"/>
      <c r="DER1" s="434"/>
      <c r="DES1" s="434"/>
      <c r="DET1" s="434"/>
      <c r="DEU1" s="434"/>
      <c r="DEV1" s="434"/>
      <c r="DEW1" s="434"/>
      <c r="DEX1" s="434"/>
      <c r="DEY1" s="434"/>
      <c r="DEZ1" s="434"/>
      <c r="DFA1" s="434"/>
      <c r="DFB1" s="434"/>
      <c r="DFC1" s="434"/>
      <c r="DFD1" s="434"/>
      <c r="DFE1" s="434"/>
      <c r="DFF1" s="434"/>
      <c r="DFG1" s="434"/>
      <c r="DFH1" s="434"/>
      <c r="DFI1" s="434"/>
      <c r="DFJ1" s="434"/>
      <c r="DFK1" s="434"/>
      <c r="DFL1" s="434"/>
      <c r="DFM1" s="434"/>
      <c r="DFN1" s="434"/>
      <c r="DFO1" s="434"/>
      <c r="DFP1" s="434"/>
      <c r="DFQ1" s="434"/>
      <c r="DFR1" s="434"/>
      <c r="DFS1" s="434"/>
      <c r="DFT1" s="434"/>
      <c r="DFU1" s="434"/>
      <c r="DFV1" s="434"/>
      <c r="DFW1" s="434"/>
      <c r="DFX1" s="434"/>
      <c r="DFY1" s="434"/>
      <c r="DFZ1" s="434"/>
      <c r="DGA1" s="434"/>
      <c r="DGB1" s="434"/>
      <c r="DGC1" s="434"/>
      <c r="DGD1" s="434"/>
      <c r="DGE1" s="434"/>
      <c r="DGF1" s="434"/>
      <c r="DGG1" s="434"/>
      <c r="DGH1" s="434"/>
      <c r="DGI1" s="434"/>
      <c r="DGJ1" s="434"/>
      <c r="DGK1" s="434"/>
      <c r="DGL1" s="434"/>
      <c r="DGM1" s="434"/>
      <c r="DGN1" s="434"/>
      <c r="DGO1" s="434"/>
      <c r="DGP1" s="434"/>
      <c r="DGQ1" s="434"/>
      <c r="DGR1" s="434"/>
      <c r="DGS1" s="434"/>
      <c r="DGT1" s="434"/>
      <c r="DGU1" s="434"/>
      <c r="DGV1" s="434"/>
      <c r="DGW1" s="434"/>
      <c r="DGX1" s="434"/>
      <c r="DGY1" s="434"/>
      <c r="DGZ1" s="434"/>
      <c r="DHA1" s="434"/>
      <c r="DHB1" s="434"/>
      <c r="DHC1" s="434"/>
      <c r="DHD1" s="434"/>
      <c r="DHE1" s="434"/>
      <c r="DHF1" s="434"/>
      <c r="DHG1" s="434"/>
      <c r="DHH1" s="434"/>
      <c r="DHI1" s="434"/>
      <c r="DHJ1" s="434"/>
      <c r="DHK1" s="434"/>
      <c r="DHL1" s="434"/>
      <c r="DHM1" s="434"/>
      <c r="DHN1" s="434"/>
      <c r="DHO1" s="434"/>
      <c r="DHP1" s="434"/>
      <c r="DHQ1" s="434"/>
      <c r="DHR1" s="434"/>
      <c r="DHS1" s="434"/>
      <c r="DHT1" s="434"/>
      <c r="DHU1" s="434"/>
      <c r="DHV1" s="434"/>
      <c r="DHW1" s="434"/>
      <c r="DHX1" s="434"/>
      <c r="DHY1" s="434"/>
      <c r="DHZ1" s="434"/>
      <c r="DIA1" s="434"/>
      <c r="DIB1" s="434"/>
      <c r="DIC1" s="434"/>
      <c r="DID1" s="434"/>
      <c r="DIE1" s="434"/>
      <c r="DIF1" s="434"/>
      <c r="DIG1" s="434"/>
      <c r="DIH1" s="434"/>
      <c r="DII1" s="434"/>
      <c r="DIJ1" s="434"/>
      <c r="DIK1" s="434"/>
      <c r="DIL1" s="434"/>
      <c r="DIM1" s="434"/>
      <c r="DIN1" s="434"/>
      <c r="DIO1" s="434"/>
      <c r="DIP1" s="434"/>
      <c r="DIQ1" s="434"/>
      <c r="DIR1" s="434"/>
      <c r="DIS1" s="434"/>
      <c r="DIT1" s="434"/>
      <c r="DIU1" s="434"/>
      <c r="DIV1" s="434"/>
      <c r="DIW1" s="434"/>
      <c r="DIX1" s="434"/>
      <c r="DIY1" s="434"/>
      <c r="DIZ1" s="434"/>
      <c r="DJA1" s="434"/>
      <c r="DJB1" s="434"/>
      <c r="DJC1" s="434"/>
      <c r="DJD1" s="434"/>
      <c r="DJE1" s="434"/>
      <c r="DJF1" s="434"/>
      <c r="DJG1" s="434"/>
      <c r="DJH1" s="434"/>
      <c r="DJI1" s="434"/>
      <c r="DJJ1" s="434"/>
      <c r="DJK1" s="434"/>
      <c r="DJL1" s="434"/>
      <c r="DJM1" s="434"/>
      <c r="DJN1" s="434"/>
      <c r="DJO1" s="434"/>
      <c r="DJP1" s="434"/>
      <c r="DJQ1" s="434"/>
      <c r="DJR1" s="434"/>
      <c r="DJS1" s="434"/>
      <c r="DJT1" s="434"/>
      <c r="DJU1" s="434"/>
      <c r="DJV1" s="434"/>
      <c r="DJW1" s="434"/>
      <c r="DJX1" s="434"/>
      <c r="DJY1" s="434"/>
      <c r="DJZ1" s="434"/>
      <c r="DKA1" s="434"/>
      <c r="DKB1" s="434"/>
      <c r="DKC1" s="434"/>
      <c r="DKD1" s="434"/>
      <c r="DKE1" s="434"/>
      <c r="DKF1" s="434"/>
      <c r="DKG1" s="434"/>
      <c r="DKH1" s="434"/>
      <c r="DKI1" s="434"/>
      <c r="DKJ1" s="434"/>
      <c r="DKK1" s="434"/>
      <c r="DKL1" s="434"/>
      <c r="DKM1" s="434"/>
      <c r="DKN1" s="434"/>
      <c r="DKO1" s="434"/>
      <c r="DKP1" s="434"/>
      <c r="DKQ1" s="434"/>
      <c r="DKR1" s="434"/>
      <c r="DKS1" s="434"/>
      <c r="DKT1" s="434"/>
      <c r="DKU1" s="434"/>
      <c r="DKV1" s="434"/>
      <c r="DKW1" s="434"/>
      <c r="DKX1" s="434"/>
      <c r="DKY1" s="434"/>
      <c r="DKZ1" s="434"/>
      <c r="DLA1" s="434"/>
      <c r="DLB1" s="434"/>
      <c r="DLC1" s="434"/>
      <c r="DLD1" s="434"/>
      <c r="DLE1" s="434"/>
      <c r="DLF1" s="434"/>
      <c r="DLG1" s="434"/>
      <c r="DLH1" s="434"/>
      <c r="DLI1" s="434"/>
      <c r="DLJ1" s="434"/>
      <c r="DLK1" s="434"/>
      <c r="DLL1" s="434"/>
      <c r="DLM1" s="434"/>
      <c r="DLN1" s="434"/>
      <c r="DLO1" s="434"/>
      <c r="DLP1" s="434"/>
      <c r="DLQ1" s="434"/>
      <c r="DLR1" s="434"/>
      <c r="DLS1" s="434"/>
      <c r="DLT1" s="434"/>
      <c r="DLU1" s="434"/>
      <c r="DLV1" s="434"/>
      <c r="DLW1" s="434"/>
      <c r="DLX1" s="434"/>
      <c r="DLY1" s="434"/>
      <c r="DLZ1" s="434"/>
      <c r="DMA1" s="434"/>
      <c r="DMB1" s="434"/>
      <c r="DMC1" s="434"/>
      <c r="DMD1" s="434"/>
      <c r="DME1" s="434"/>
      <c r="DMF1" s="434"/>
      <c r="DMG1" s="434"/>
      <c r="DMH1" s="434"/>
      <c r="DMI1" s="434"/>
      <c r="DMJ1" s="434"/>
      <c r="DMK1" s="434"/>
      <c r="DML1" s="434"/>
      <c r="DMM1" s="434"/>
      <c r="DMN1" s="434"/>
      <c r="DMO1" s="434"/>
      <c r="DMP1" s="434"/>
      <c r="DMQ1" s="434"/>
      <c r="DMR1" s="434"/>
      <c r="DMS1" s="434"/>
      <c r="DMT1" s="434"/>
      <c r="DMU1" s="434"/>
      <c r="DMV1" s="434"/>
      <c r="DMW1" s="434"/>
      <c r="DMX1" s="434"/>
      <c r="DMY1" s="434"/>
      <c r="DMZ1" s="434"/>
      <c r="DNA1" s="434"/>
      <c r="DNB1" s="434"/>
      <c r="DNC1" s="434"/>
      <c r="DND1" s="434"/>
      <c r="DNE1" s="434"/>
      <c r="DNF1" s="434"/>
      <c r="DNG1" s="434"/>
      <c r="DNH1" s="434"/>
      <c r="DNI1" s="434"/>
      <c r="DNJ1" s="434"/>
      <c r="DNK1" s="434"/>
      <c r="DNL1" s="434"/>
      <c r="DNM1" s="434"/>
      <c r="DNN1" s="434"/>
      <c r="DNO1" s="434"/>
      <c r="DNP1" s="434"/>
      <c r="DNQ1" s="434"/>
      <c r="DNR1" s="434"/>
      <c r="DNS1" s="434"/>
      <c r="DNT1" s="434"/>
      <c r="DNU1" s="434"/>
      <c r="DNV1" s="434"/>
      <c r="DNW1" s="434"/>
      <c r="DNX1" s="434"/>
      <c r="DNY1" s="434"/>
      <c r="DNZ1" s="434"/>
      <c r="DOA1" s="434"/>
      <c r="DOB1" s="434"/>
      <c r="DOC1" s="434"/>
      <c r="DOD1" s="434"/>
      <c r="DOE1" s="434"/>
      <c r="DOF1" s="434"/>
      <c r="DOG1" s="434"/>
      <c r="DOH1" s="434"/>
      <c r="DOI1" s="434"/>
      <c r="DOJ1" s="434"/>
      <c r="DOK1" s="434"/>
      <c r="DOL1" s="434"/>
      <c r="DOM1" s="434"/>
      <c r="DON1" s="434"/>
      <c r="DOO1" s="434"/>
      <c r="DOP1" s="434"/>
      <c r="DOQ1" s="434"/>
      <c r="DOR1" s="434"/>
      <c r="DOS1" s="434"/>
      <c r="DOT1" s="434"/>
      <c r="DOU1" s="434"/>
      <c r="DOV1" s="434"/>
      <c r="DOW1" s="434"/>
      <c r="DOX1" s="434"/>
      <c r="DOY1" s="434"/>
      <c r="DOZ1" s="434"/>
      <c r="DPA1" s="434"/>
      <c r="DPB1" s="434"/>
      <c r="DPC1" s="434"/>
      <c r="DPD1" s="434"/>
      <c r="DPE1" s="434"/>
      <c r="DPF1" s="434"/>
      <c r="DPG1" s="434"/>
      <c r="DPH1" s="434"/>
      <c r="DPI1" s="434"/>
      <c r="DPJ1" s="434"/>
      <c r="DPK1" s="434"/>
      <c r="DPL1" s="434"/>
      <c r="DPM1" s="434"/>
      <c r="DPN1" s="434"/>
      <c r="DPO1" s="434"/>
      <c r="DPP1" s="434"/>
      <c r="DPQ1" s="434"/>
      <c r="DPR1" s="434"/>
      <c r="DPS1" s="434"/>
      <c r="DPT1" s="434"/>
      <c r="DPU1" s="434"/>
      <c r="DPV1" s="434"/>
      <c r="DPW1" s="434"/>
      <c r="DPX1" s="434"/>
      <c r="DPY1" s="434"/>
      <c r="DPZ1" s="434"/>
      <c r="DQA1" s="434"/>
      <c r="DQB1" s="434"/>
      <c r="DQC1" s="434"/>
      <c r="DQD1" s="434"/>
      <c r="DQE1" s="434"/>
      <c r="DQF1" s="434"/>
      <c r="DQG1" s="434"/>
      <c r="DQH1" s="434"/>
      <c r="DQI1" s="434"/>
      <c r="DQJ1" s="434"/>
      <c r="DQK1" s="434"/>
      <c r="DQL1" s="434"/>
      <c r="DQM1" s="434"/>
      <c r="DQN1" s="434"/>
      <c r="DQO1" s="434"/>
      <c r="DQP1" s="434"/>
      <c r="DQQ1" s="434"/>
      <c r="DQR1" s="434"/>
      <c r="DQS1" s="434"/>
      <c r="DQT1" s="434"/>
      <c r="DQU1" s="434"/>
      <c r="DQV1" s="434"/>
      <c r="DQW1" s="434"/>
      <c r="DQX1" s="434"/>
      <c r="DQY1" s="434"/>
      <c r="DQZ1" s="434"/>
      <c r="DRA1" s="434"/>
      <c r="DRB1" s="434"/>
      <c r="DRC1" s="434"/>
      <c r="DRD1" s="434"/>
      <c r="DRE1" s="434"/>
      <c r="DRF1" s="434"/>
      <c r="DRG1" s="434"/>
      <c r="DRH1" s="434"/>
      <c r="DRI1" s="434"/>
      <c r="DRJ1" s="434"/>
      <c r="DRK1" s="434"/>
      <c r="DRL1" s="434"/>
      <c r="DRM1" s="434"/>
      <c r="DRN1" s="434"/>
      <c r="DRO1" s="434"/>
      <c r="DRP1" s="434"/>
      <c r="DRQ1" s="434"/>
      <c r="DRR1" s="434"/>
      <c r="DRS1" s="434"/>
      <c r="DRT1" s="434"/>
      <c r="DRU1" s="434"/>
      <c r="DRV1" s="434"/>
      <c r="DRW1" s="434"/>
      <c r="DRX1" s="434"/>
      <c r="DRY1" s="434"/>
      <c r="DRZ1" s="434"/>
      <c r="DSA1" s="434"/>
      <c r="DSB1" s="434"/>
      <c r="DSC1" s="434"/>
      <c r="DSD1" s="434"/>
      <c r="DSE1" s="434"/>
      <c r="DSF1" s="434"/>
      <c r="DSG1" s="434"/>
      <c r="DSH1" s="434"/>
      <c r="DSI1" s="434"/>
      <c r="DSJ1" s="434"/>
      <c r="DSK1" s="434"/>
      <c r="DSL1" s="434"/>
      <c r="DSM1" s="434"/>
      <c r="DSN1" s="434"/>
      <c r="DSO1" s="434"/>
      <c r="DSP1" s="434"/>
      <c r="DSQ1" s="434"/>
      <c r="DSR1" s="434"/>
      <c r="DSS1" s="434"/>
      <c r="DST1" s="434"/>
      <c r="DSU1" s="434"/>
      <c r="DSV1" s="434"/>
      <c r="DSW1" s="434"/>
      <c r="DSX1" s="434"/>
      <c r="DSY1" s="434"/>
      <c r="DSZ1" s="434"/>
      <c r="DTA1" s="434"/>
      <c r="DTB1" s="434"/>
      <c r="DTC1" s="434"/>
      <c r="DTD1" s="434"/>
      <c r="DTE1" s="434"/>
      <c r="DTF1" s="434"/>
      <c r="DTG1" s="434"/>
      <c r="DTH1" s="434"/>
      <c r="DTI1" s="434"/>
      <c r="DTJ1" s="434"/>
      <c r="DTK1" s="434"/>
      <c r="DTL1" s="434"/>
      <c r="DTM1" s="434"/>
      <c r="DTN1" s="434"/>
      <c r="DTO1" s="434"/>
      <c r="DTP1" s="434"/>
      <c r="DTQ1" s="434"/>
      <c r="DTR1" s="434"/>
      <c r="DTS1" s="434"/>
      <c r="DTT1" s="434"/>
      <c r="DTU1" s="434"/>
      <c r="DTV1" s="434"/>
      <c r="DTW1" s="434"/>
      <c r="DTX1" s="434"/>
      <c r="DTY1" s="434"/>
      <c r="DTZ1" s="434"/>
      <c r="DUA1" s="434"/>
      <c r="DUB1" s="434"/>
      <c r="DUC1" s="434"/>
      <c r="DUD1" s="434"/>
      <c r="DUE1" s="434"/>
      <c r="DUF1" s="434"/>
      <c r="DUG1" s="434"/>
      <c r="DUH1" s="434"/>
      <c r="DUI1" s="434"/>
      <c r="DUJ1" s="434"/>
      <c r="DUK1" s="434"/>
      <c r="DUL1" s="434"/>
      <c r="DUM1" s="434"/>
      <c r="DUN1" s="434"/>
      <c r="DUO1" s="434"/>
      <c r="DUP1" s="434"/>
      <c r="DUQ1" s="434"/>
      <c r="DUR1" s="434"/>
      <c r="DUS1" s="434"/>
      <c r="DUT1" s="434"/>
      <c r="DUU1" s="434"/>
      <c r="DUV1" s="434"/>
      <c r="DUW1" s="434"/>
      <c r="DUX1" s="434"/>
      <c r="DUY1" s="434"/>
      <c r="DUZ1" s="434"/>
      <c r="DVA1" s="434"/>
      <c r="DVB1" s="434"/>
      <c r="DVC1" s="434"/>
      <c r="DVD1" s="434"/>
      <c r="DVE1" s="434"/>
      <c r="DVF1" s="434"/>
      <c r="DVG1" s="434"/>
      <c r="DVH1" s="434"/>
      <c r="DVI1" s="434"/>
      <c r="DVJ1" s="434"/>
      <c r="DVK1" s="434"/>
      <c r="DVL1" s="434"/>
      <c r="DVM1" s="434"/>
      <c r="DVN1" s="434"/>
      <c r="DVO1" s="434"/>
      <c r="DVP1" s="434"/>
      <c r="DVQ1" s="434"/>
      <c r="DVR1" s="434"/>
      <c r="DVS1" s="434"/>
      <c r="DVT1" s="434"/>
      <c r="DVU1" s="434"/>
      <c r="DVV1" s="434"/>
      <c r="DVW1" s="434"/>
      <c r="DVX1" s="434"/>
      <c r="DVY1" s="434"/>
      <c r="DVZ1" s="434"/>
      <c r="DWA1" s="434"/>
      <c r="DWB1" s="434"/>
      <c r="DWC1" s="434"/>
      <c r="DWD1" s="434"/>
      <c r="DWE1" s="434"/>
      <c r="DWF1" s="434"/>
      <c r="DWG1" s="434"/>
      <c r="DWH1" s="434"/>
      <c r="DWI1" s="434"/>
      <c r="DWJ1" s="434"/>
      <c r="DWK1" s="434"/>
      <c r="DWL1" s="434"/>
      <c r="DWM1" s="434"/>
      <c r="DWN1" s="434"/>
      <c r="DWO1" s="434"/>
      <c r="DWP1" s="434"/>
      <c r="DWQ1" s="434"/>
      <c r="DWR1" s="434"/>
      <c r="DWS1" s="434"/>
      <c r="DWT1" s="434"/>
      <c r="DWU1" s="434"/>
      <c r="DWV1" s="434"/>
      <c r="DWW1" s="434"/>
      <c r="DWX1" s="434"/>
      <c r="DWY1" s="434"/>
      <c r="DWZ1" s="434"/>
      <c r="DXA1" s="434"/>
      <c r="DXB1" s="434"/>
      <c r="DXC1" s="434"/>
      <c r="DXD1" s="434"/>
      <c r="DXE1" s="434"/>
      <c r="DXF1" s="434"/>
      <c r="DXG1" s="434"/>
      <c r="DXH1" s="434"/>
      <c r="DXI1" s="434"/>
      <c r="DXJ1" s="434"/>
      <c r="DXK1" s="434"/>
      <c r="DXL1" s="434"/>
      <c r="DXM1" s="434"/>
      <c r="DXN1" s="434"/>
      <c r="DXO1" s="434"/>
      <c r="DXP1" s="434"/>
      <c r="DXQ1" s="434"/>
      <c r="DXR1" s="434"/>
      <c r="DXS1" s="434"/>
      <c r="DXT1" s="434"/>
      <c r="DXU1" s="434"/>
      <c r="DXV1" s="434"/>
      <c r="DXW1" s="434"/>
      <c r="DXX1" s="434"/>
      <c r="DXY1" s="434"/>
      <c r="DXZ1" s="434"/>
      <c r="DYA1" s="434"/>
      <c r="DYB1" s="434"/>
      <c r="DYC1" s="434"/>
      <c r="DYD1" s="434"/>
      <c r="DYE1" s="434"/>
      <c r="DYF1" s="434"/>
      <c r="DYG1" s="434"/>
      <c r="DYH1" s="434"/>
      <c r="DYI1" s="434"/>
      <c r="DYJ1" s="434"/>
      <c r="DYK1" s="434"/>
      <c r="DYL1" s="434"/>
      <c r="DYM1" s="434"/>
      <c r="DYN1" s="434"/>
      <c r="DYO1" s="434"/>
      <c r="DYP1" s="434"/>
      <c r="DYQ1" s="434"/>
      <c r="DYR1" s="434"/>
      <c r="DYS1" s="434"/>
      <c r="DYT1" s="434"/>
      <c r="DYU1" s="434"/>
      <c r="DYV1" s="434"/>
      <c r="DYW1" s="434"/>
      <c r="DYX1" s="434"/>
      <c r="DYY1" s="434"/>
      <c r="DYZ1" s="434"/>
      <c r="DZA1" s="434"/>
      <c r="DZB1" s="434"/>
      <c r="DZC1" s="434"/>
      <c r="DZD1" s="434"/>
      <c r="DZE1" s="434"/>
      <c r="DZF1" s="434"/>
      <c r="DZG1" s="434"/>
      <c r="DZH1" s="434"/>
      <c r="DZI1" s="434"/>
      <c r="DZJ1" s="434"/>
      <c r="DZK1" s="434"/>
      <c r="DZL1" s="434"/>
      <c r="DZM1" s="434"/>
      <c r="DZN1" s="434"/>
      <c r="DZO1" s="434"/>
      <c r="DZP1" s="434"/>
      <c r="DZQ1" s="434"/>
      <c r="DZR1" s="434"/>
      <c r="DZS1" s="434"/>
      <c r="DZT1" s="434"/>
      <c r="DZU1" s="434"/>
      <c r="DZV1" s="434"/>
      <c r="DZW1" s="434"/>
      <c r="DZX1" s="434"/>
      <c r="DZY1" s="434"/>
      <c r="DZZ1" s="434"/>
      <c r="EAA1" s="434"/>
      <c r="EAB1" s="434"/>
      <c r="EAC1" s="434"/>
      <c r="EAD1" s="434"/>
      <c r="EAE1" s="434"/>
      <c r="EAF1" s="434"/>
      <c r="EAG1" s="434"/>
      <c r="EAH1" s="434"/>
      <c r="EAI1" s="434"/>
      <c r="EAJ1" s="434"/>
      <c r="EAK1" s="434"/>
      <c r="EAL1" s="434"/>
      <c r="EAM1" s="434"/>
      <c r="EAN1" s="434"/>
      <c r="EAO1" s="434"/>
      <c r="EAP1" s="434"/>
      <c r="EAQ1" s="434"/>
      <c r="EAR1" s="434"/>
      <c r="EAS1" s="434"/>
      <c r="EAT1" s="434"/>
      <c r="EAU1" s="434"/>
      <c r="EAV1" s="434"/>
      <c r="EAW1" s="434"/>
      <c r="EAX1" s="434"/>
      <c r="EAY1" s="434"/>
      <c r="EAZ1" s="434"/>
      <c r="EBA1" s="434"/>
      <c r="EBB1" s="434"/>
      <c r="EBC1" s="434"/>
      <c r="EBD1" s="434"/>
      <c r="EBE1" s="434"/>
      <c r="EBF1" s="434"/>
      <c r="EBG1" s="434"/>
      <c r="EBH1" s="434"/>
      <c r="EBI1" s="434"/>
      <c r="EBJ1" s="434"/>
      <c r="EBK1" s="434"/>
      <c r="EBL1" s="434"/>
      <c r="EBM1" s="434"/>
      <c r="EBN1" s="434"/>
      <c r="EBO1" s="434"/>
      <c r="EBP1" s="434"/>
      <c r="EBQ1" s="434"/>
      <c r="EBR1" s="434"/>
      <c r="EBS1" s="434"/>
      <c r="EBT1" s="434"/>
      <c r="EBU1" s="434"/>
      <c r="EBV1" s="434"/>
      <c r="EBW1" s="434"/>
      <c r="EBX1" s="434"/>
      <c r="EBY1" s="434"/>
      <c r="EBZ1" s="434"/>
      <c r="ECA1" s="434"/>
      <c r="ECB1" s="434"/>
      <c r="ECC1" s="434"/>
      <c r="ECD1" s="434"/>
      <c r="ECE1" s="434"/>
      <c r="ECF1" s="434"/>
      <c r="ECG1" s="434"/>
      <c r="ECH1" s="434"/>
      <c r="ECI1" s="434"/>
      <c r="ECJ1" s="434"/>
      <c r="ECK1" s="434"/>
      <c r="ECL1" s="434"/>
      <c r="ECM1" s="434"/>
      <c r="ECN1" s="434"/>
      <c r="ECO1" s="434"/>
      <c r="ECP1" s="434"/>
      <c r="ECQ1" s="434"/>
      <c r="ECR1" s="434"/>
      <c r="ECS1" s="434"/>
      <c r="ECT1" s="434"/>
      <c r="ECU1" s="434"/>
      <c r="ECV1" s="434"/>
      <c r="ECW1" s="434"/>
      <c r="ECX1" s="434"/>
      <c r="ECY1" s="434"/>
      <c r="ECZ1" s="434"/>
      <c r="EDA1" s="434"/>
      <c r="EDB1" s="434"/>
      <c r="EDC1" s="434"/>
      <c r="EDD1" s="434"/>
      <c r="EDE1" s="434"/>
      <c r="EDF1" s="434"/>
      <c r="EDG1" s="434"/>
      <c r="EDH1" s="434"/>
      <c r="EDI1" s="434"/>
      <c r="EDJ1" s="434"/>
      <c r="EDK1" s="434"/>
      <c r="EDL1" s="434"/>
      <c r="EDM1" s="434"/>
      <c r="EDN1" s="434"/>
      <c r="EDO1" s="434"/>
      <c r="EDP1" s="434"/>
      <c r="EDQ1" s="434"/>
      <c r="EDR1" s="434"/>
      <c r="EDS1" s="434"/>
      <c r="EDT1" s="434"/>
      <c r="EDU1" s="434"/>
      <c r="EDV1" s="434"/>
      <c r="EDW1" s="434"/>
      <c r="EDX1" s="434"/>
      <c r="EDY1" s="434"/>
      <c r="EDZ1" s="434"/>
      <c r="EEA1" s="434"/>
      <c r="EEB1" s="434"/>
      <c r="EEC1" s="434"/>
      <c r="EED1" s="434"/>
      <c r="EEE1" s="434"/>
      <c r="EEF1" s="434"/>
      <c r="EEG1" s="434"/>
      <c r="EEH1" s="434"/>
      <c r="EEI1" s="434"/>
      <c r="EEJ1" s="434"/>
      <c r="EEK1" s="434"/>
      <c r="EEL1" s="434"/>
      <c r="EEM1" s="434"/>
      <c r="EEN1" s="434"/>
      <c r="EEO1" s="434"/>
      <c r="EEP1" s="434"/>
      <c r="EEQ1" s="434"/>
      <c r="EER1" s="434"/>
      <c r="EES1" s="434"/>
      <c r="EET1" s="434"/>
      <c r="EEU1" s="434"/>
      <c r="EEV1" s="434"/>
      <c r="EEW1" s="434"/>
      <c r="EEX1" s="434"/>
      <c r="EEY1" s="434"/>
      <c r="EEZ1" s="434"/>
      <c r="EFA1" s="434"/>
      <c r="EFB1" s="434"/>
      <c r="EFC1" s="434"/>
      <c r="EFD1" s="434"/>
      <c r="EFE1" s="434"/>
      <c r="EFF1" s="434"/>
      <c r="EFG1" s="434"/>
      <c r="EFH1" s="434"/>
      <c r="EFI1" s="434"/>
      <c r="EFJ1" s="434"/>
      <c r="EFK1" s="434"/>
      <c r="EFL1" s="434"/>
      <c r="EFM1" s="434"/>
      <c r="EFN1" s="434"/>
      <c r="EFO1" s="434"/>
      <c r="EFP1" s="434"/>
      <c r="EFQ1" s="434"/>
      <c r="EFR1" s="434"/>
      <c r="EFS1" s="434"/>
      <c r="EFT1" s="434"/>
      <c r="EFU1" s="434"/>
      <c r="EFV1" s="434"/>
      <c r="EFW1" s="434"/>
      <c r="EFX1" s="434"/>
      <c r="EFY1" s="434"/>
      <c r="EFZ1" s="434"/>
      <c r="EGA1" s="434"/>
      <c r="EGB1" s="434"/>
      <c r="EGC1" s="434"/>
      <c r="EGD1" s="434"/>
      <c r="EGE1" s="434"/>
      <c r="EGF1" s="434"/>
      <c r="EGG1" s="434"/>
      <c r="EGH1" s="434"/>
      <c r="EGI1" s="434"/>
      <c r="EGJ1" s="434"/>
      <c r="EGK1" s="434"/>
      <c r="EGL1" s="434"/>
      <c r="EGM1" s="434"/>
      <c r="EGN1" s="434"/>
      <c r="EGO1" s="434"/>
      <c r="EGP1" s="434"/>
      <c r="EGQ1" s="434"/>
      <c r="EGR1" s="434"/>
      <c r="EGS1" s="434"/>
      <c r="EGT1" s="434"/>
      <c r="EGU1" s="434"/>
      <c r="EGV1" s="434"/>
      <c r="EGW1" s="434"/>
      <c r="EGX1" s="434"/>
      <c r="EGY1" s="434"/>
      <c r="EGZ1" s="434"/>
      <c r="EHA1" s="434"/>
      <c r="EHB1" s="434"/>
      <c r="EHC1" s="434"/>
      <c r="EHD1" s="434"/>
      <c r="EHE1" s="434"/>
      <c r="EHF1" s="434"/>
      <c r="EHG1" s="434"/>
      <c r="EHH1" s="434"/>
      <c r="EHI1" s="434"/>
      <c r="EHJ1" s="434"/>
      <c r="EHK1" s="434"/>
      <c r="EHL1" s="434"/>
      <c r="EHM1" s="434"/>
      <c r="EHN1" s="434"/>
      <c r="EHO1" s="434"/>
      <c r="EHP1" s="434"/>
      <c r="EHQ1" s="434"/>
      <c r="EHR1" s="434"/>
      <c r="EHS1" s="434"/>
      <c r="EHT1" s="434"/>
      <c r="EHU1" s="434"/>
      <c r="EHV1" s="434"/>
      <c r="EHW1" s="434"/>
      <c r="EHX1" s="434"/>
      <c r="EHY1" s="434"/>
      <c r="EHZ1" s="434"/>
      <c r="EIA1" s="434"/>
      <c r="EIB1" s="434"/>
      <c r="EIC1" s="434"/>
      <c r="EID1" s="434"/>
      <c r="EIE1" s="434"/>
      <c r="EIF1" s="434"/>
      <c r="EIG1" s="434"/>
      <c r="EIH1" s="434"/>
      <c r="EII1" s="434"/>
      <c r="EIJ1" s="434"/>
      <c r="EIK1" s="434"/>
      <c r="EIL1" s="434"/>
      <c r="EIM1" s="434"/>
      <c r="EIN1" s="434"/>
      <c r="EIO1" s="434"/>
      <c r="EIP1" s="434"/>
      <c r="EIQ1" s="434"/>
      <c r="EIR1" s="434"/>
      <c r="EIS1" s="434"/>
      <c r="EIT1" s="434"/>
      <c r="EIU1" s="434"/>
      <c r="EIV1" s="434"/>
      <c r="EIW1" s="434"/>
      <c r="EIX1" s="434"/>
      <c r="EIY1" s="434"/>
      <c r="EIZ1" s="434"/>
      <c r="EJA1" s="434"/>
      <c r="EJB1" s="434"/>
      <c r="EJC1" s="434"/>
      <c r="EJD1" s="434"/>
      <c r="EJE1" s="434"/>
      <c r="EJF1" s="434"/>
      <c r="EJG1" s="434"/>
      <c r="EJH1" s="434"/>
      <c r="EJI1" s="434"/>
      <c r="EJJ1" s="434"/>
      <c r="EJK1" s="434"/>
      <c r="EJL1" s="434"/>
      <c r="EJM1" s="434"/>
      <c r="EJN1" s="434"/>
      <c r="EJO1" s="434"/>
      <c r="EJP1" s="434"/>
      <c r="EJQ1" s="434"/>
      <c r="EJR1" s="434"/>
      <c r="EJS1" s="434"/>
      <c r="EJT1" s="434"/>
      <c r="EJU1" s="434"/>
      <c r="EJV1" s="434"/>
      <c r="EJW1" s="434"/>
      <c r="EJX1" s="434"/>
      <c r="EJY1" s="434"/>
      <c r="EJZ1" s="434"/>
      <c r="EKA1" s="434"/>
      <c r="EKB1" s="434"/>
      <c r="EKC1" s="434"/>
      <c r="EKD1" s="434"/>
      <c r="EKE1" s="434"/>
      <c r="EKF1" s="434"/>
      <c r="EKG1" s="434"/>
      <c r="EKH1" s="434"/>
      <c r="EKI1" s="434"/>
      <c r="EKJ1" s="434"/>
      <c r="EKK1" s="434"/>
      <c r="EKL1" s="434"/>
      <c r="EKM1" s="434"/>
      <c r="EKN1" s="434"/>
      <c r="EKO1" s="434"/>
      <c r="EKP1" s="434"/>
      <c r="EKQ1" s="434"/>
      <c r="EKR1" s="434"/>
      <c r="EKS1" s="434"/>
      <c r="EKT1" s="434"/>
      <c r="EKU1" s="434"/>
      <c r="EKV1" s="434"/>
      <c r="EKW1" s="434"/>
      <c r="EKX1" s="434"/>
      <c r="EKY1" s="434"/>
      <c r="EKZ1" s="434"/>
      <c r="ELA1" s="434"/>
      <c r="ELB1" s="434"/>
      <c r="ELC1" s="434"/>
      <c r="ELD1" s="434"/>
      <c r="ELE1" s="434"/>
      <c r="ELF1" s="434"/>
      <c r="ELG1" s="434"/>
      <c r="ELH1" s="434"/>
      <c r="ELI1" s="434"/>
      <c r="ELJ1" s="434"/>
      <c r="ELK1" s="434"/>
      <c r="ELL1" s="434"/>
      <c r="ELM1" s="434"/>
      <c r="ELN1" s="434"/>
      <c r="ELO1" s="434"/>
      <c r="ELP1" s="434"/>
      <c r="ELQ1" s="434"/>
      <c r="ELR1" s="434"/>
      <c r="ELS1" s="434"/>
      <c r="ELT1" s="434"/>
      <c r="ELU1" s="434"/>
      <c r="ELV1" s="434"/>
      <c r="ELW1" s="434"/>
      <c r="ELX1" s="434"/>
      <c r="ELY1" s="434"/>
      <c r="ELZ1" s="434"/>
      <c r="EMA1" s="434"/>
      <c r="EMB1" s="434"/>
      <c r="EMC1" s="434"/>
      <c r="EMD1" s="434"/>
      <c r="EME1" s="434"/>
      <c r="EMF1" s="434"/>
      <c r="EMG1" s="434"/>
      <c r="EMH1" s="434"/>
      <c r="EMI1" s="434"/>
      <c r="EMJ1" s="434"/>
      <c r="EMK1" s="434"/>
      <c r="EML1" s="434"/>
      <c r="EMM1" s="434"/>
      <c r="EMN1" s="434"/>
      <c r="EMO1" s="434"/>
      <c r="EMP1" s="434"/>
      <c r="EMQ1" s="434"/>
      <c r="EMR1" s="434"/>
      <c r="EMS1" s="434"/>
      <c r="EMT1" s="434"/>
      <c r="EMU1" s="434"/>
      <c r="EMV1" s="434"/>
      <c r="EMW1" s="434"/>
      <c r="EMX1" s="434"/>
      <c r="EMY1" s="434"/>
      <c r="EMZ1" s="434"/>
      <c r="ENA1" s="434"/>
      <c r="ENB1" s="434"/>
      <c r="ENC1" s="434"/>
      <c r="END1" s="434"/>
      <c r="ENE1" s="434"/>
      <c r="ENF1" s="434"/>
      <c r="ENG1" s="434"/>
      <c r="ENH1" s="434"/>
      <c r="ENI1" s="434"/>
      <c r="ENJ1" s="434"/>
      <c r="ENK1" s="434"/>
      <c r="ENL1" s="434"/>
      <c r="ENM1" s="434"/>
      <c r="ENN1" s="434"/>
      <c r="ENO1" s="434"/>
      <c r="ENP1" s="434"/>
      <c r="ENQ1" s="434"/>
      <c r="ENR1" s="434"/>
      <c r="ENS1" s="434"/>
      <c r="ENT1" s="434"/>
      <c r="ENU1" s="434"/>
      <c r="ENV1" s="434"/>
      <c r="ENW1" s="434"/>
      <c r="ENX1" s="434"/>
      <c r="ENY1" s="434"/>
      <c r="ENZ1" s="434"/>
      <c r="EOA1" s="434"/>
      <c r="EOB1" s="434"/>
      <c r="EOC1" s="434"/>
      <c r="EOD1" s="434"/>
      <c r="EOE1" s="434"/>
      <c r="EOF1" s="434"/>
      <c r="EOG1" s="434"/>
      <c r="EOH1" s="434"/>
      <c r="EOI1" s="434"/>
      <c r="EOJ1" s="434"/>
      <c r="EOK1" s="434"/>
      <c r="EOL1" s="434"/>
      <c r="EOM1" s="434"/>
      <c r="EON1" s="434"/>
      <c r="EOO1" s="434"/>
      <c r="EOP1" s="434"/>
      <c r="EOQ1" s="434"/>
      <c r="EOR1" s="434"/>
      <c r="EOS1" s="434"/>
      <c r="EOT1" s="434"/>
      <c r="EOU1" s="434"/>
      <c r="EOV1" s="434"/>
      <c r="EOW1" s="434"/>
      <c r="EOX1" s="434"/>
      <c r="EOY1" s="434"/>
      <c r="EOZ1" s="434"/>
      <c r="EPA1" s="434"/>
      <c r="EPB1" s="434"/>
      <c r="EPC1" s="434"/>
      <c r="EPD1" s="434"/>
      <c r="EPE1" s="434"/>
      <c r="EPF1" s="434"/>
      <c r="EPG1" s="434"/>
      <c r="EPH1" s="434"/>
      <c r="EPI1" s="434"/>
      <c r="EPJ1" s="434"/>
      <c r="EPK1" s="434"/>
      <c r="EPL1" s="434"/>
      <c r="EPM1" s="434"/>
      <c r="EPN1" s="434"/>
      <c r="EPO1" s="434"/>
      <c r="EPP1" s="434"/>
      <c r="EPQ1" s="434"/>
      <c r="EPR1" s="434"/>
      <c r="EPS1" s="434"/>
      <c r="EPT1" s="434"/>
      <c r="EPU1" s="434"/>
      <c r="EPV1" s="434"/>
      <c r="EPW1" s="434"/>
      <c r="EPX1" s="434"/>
      <c r="EPY1" s="434"/>
      <c r="EPZ1" s="434"/>
      <c r="EQA1" s="434"/>
      <c r="EQB1" s="434"/>
      <c r="EQC1" s="434"/>
      <c r="EQD1" s="434"/>
      <c r="EQE1" s="434"/>
      <c r="EQF1" s="434"/>
      <c r="EQG1" s="434"/>
      <c r="EQH1" s="434"/>
      <c r="EQI1" s="434"/>
      <c r="EQJ1" s="434"/>
      <c r="EQK1" s="434"/>
      <c r="EQL1" s="434"/>
      <c r="EQM1" s="434"/>
      <c r="EQN1" s="434"/>
      <c r="EQO1" s="434"/>
      <c r="EQP1" s="434"/>
      <c r="EQQ1" s="434"/>
      <c r="EQR1" s="434"/>
      <c r="EQS1" s="434"/>
      <c r="EQT1" s="434"/>
      <c r="EQU1" s="434"/>
      <c r="EQV1" s="434"/>
      <c r="EQW1" s="434"/>
      <c r="EQX1" s="434"/>
      <c r="EQY1" s="434"/>
      <c r="EQZ1" s="434"/>
      <c r="ERA1" s="434"/>
      <c r="ERB1" s="434"/>
      <c r="ERC1" s="434"/>
      <c r="ERD1" s="434"/>
      <c r="ERE1" s="434"/>
      <c r="ERF1" s="434"/>
      <c r="ERG1" s="434"/>
      <c r="ERH1" s="434"/>
      <c r="ERI1" s="434"/>
      <c r="ERJ1" s="434"/>
      <c r="ERK1" s="434"/>
      <c r="ERL1" s="434"/>
      <c r="ERM1" s="434"/>
      <c r="ERN1" s="434"/>
      <c r="ERO1" s="434"/>
      <c r="ERP1" s="434"/>
      <c r="ERQ1" s="434"/>
      <c r="ERR1" s="434"/>
      <c r="ERS1" s="434"/>
      <c r="ERT1" s="434"/>
      <c r="ERU1" s="434"/>
      <c r="ERV1" s="434"/>
      <c r="ERW1" s="434"/>
      <c r="ERX1" s="434"/>
      <c r="ERY1" s="434"/>
      <c r="ERZ1" s="434"/>
      <c r="ESA1" s="434"/>
      <c r="ESB1" s="434"/>
      <c r="ESC1" s="434"/>
      <c r="ESD1" s="434"/>
      <c r="ESE1" s="434"/>
      <c r="ESF1" s="434"/>
      <c r="ESG1" s="434"/>
      <c r="ESH1" s="434"/>
      <c r="ESI1" s="434"/>
      <c r="ESJ1" s="434"/>
      <c r="ESK1" s="434"/>
      <c r="ESL1" s="434"/>
      <c r="ESM1" s="434"/>
      <c r="ESN1" s="434"/>
      <c r="ESO1" s="434"/>
      <c r="ESP1" s="434"/>
      <c r="ESQ1" s="434"/>
      <c r="ESR1" s="434"/>
      <c r="ESS1" s="434"/>
      <c r="EST1" s="434"/>
      <c r="ESU1" s="434"/>
      <c r="ESV1" s="434"/>
      <c r="ESW1" s="434"/>
      <c r="ESX1" s="434"/>
      <c r="ESY1" s="434"/>
      <c r="ESZ1" s="434"/>
      <c r="ETA1" s="434"/>
      <c r="ETB1" s="434"/>
      <c r="ETC1" s="434"/>
      <c r="ETD1" s="434"/>
      <c r="ETE1" s="434"/>
      <c r="ETF1" s="434"/>
      <c r="ETG1" s="434"/>
      <c r="ETH1" s="434"/>
      <c r="ETI1" s="434"/>
      <c r="ETJ1" s="434"/>
      <c r="ETK1" s="434"/>
      <c r="ETL1" s="434"/>
      <c r="ETM1" s="434"/>
      <c r="ETN1" s="434"/>
      <c r="ETO1" s="434"/>
      <c r="ETP1" s="434"/>
      <c r="ETQ1" s="434"/>
      <c r="ETR1" s="434"/>
      <c r="ETS1" s="434"/>
      <c r="ETT1" s="434"/>
      <c r="ETU1" s="434"/>
      <c r="ETV1" s="434"/>
      <c r="ETW1" s="434"/>
      <c r="ETX1" s="434"/>
      <c r="ETY1" s="434"/>
      <c r="ETZ1" s="434"/>
      <c r="EUA1" s="434"/>
      <c r="EUB1" s="434"/>
      <c r="EUC1" s="434"/>
      <c r="EUD1" s="434"/>
      <c r="EUE1" s="434"/>
      <c r="EUF1" s="434"/>
      <c r="EUG1" s="434"/>
      <c r="EUH1" s="434"/>
      <c r="EUI1" s="434"/>
      <c r="EUJ1" s="434"/>
      <c r="EUK1" s="434"/>
      <c r="EUL1" s="434"/>
      <c r="EUM1" s="434"/>
      <c r="EUN1" s="434"/>
      <c r="EUO1" s="434"/>
      <c r="EUP1" s="434"/>
      <c r="EUQ1" s="434"/>
      <c r="EUR1" s="434"/>
      <c r="EUS1" s="434"/>
      <c r="EUT1" s="434"/>
      <c r="EUU1" s="434"/>
      <c r="EUV1" s="434"/>
      <c r="EUW1" s="434"/>
      <c r="EUX1" s="434"/>
      <c r="EUY1" s="434"/>
      <c r="EUZ1" s="434"/>
      <c r="EVA1" s="434"/>
      <c r="EVB1" s="434"/>
      <c r="EVC1" s="434"/>
      <c r="EVD1" s="434"/>
      <c r="EVE1" s="434"/>
      <c r="EVF1" s="434"/>
      <c r="EVG1" s="434"/>
      <c r="EVH1" s="434"/>
      <c r="EVI1" s="434"/>
      <c r="EVJ1" s="434"/>
      <c r="EVK1" s="434"/>
      <c r="EVL1" s="434"/>
      <c r="EVM1" s="434"/>
      <c r="EVN1" s="434"/>
      <c r="EVO1" s="434"/>
      <c r="EVP1" s="434"/>
      <c r="EVQ1" s="434"/>
      <c r="EVR1" s="434"/>
      <c r="EVS1" s="434"/>
      <c r="EVT1" s="434"/>
      <c r="EVU1" s="434"/>
      <c r="EVV1" s="434"/>
      <c r="EVW1" s="434"/>
      <c r="EVX1" s="434"/>
      <c r="EVY1" s="434"/>
      <c r="EVZ1" s="434"/>
      <c r="EWA1" s="434"/>
      <c r="EWB1" s="434"/>
      <c r="EWC1" s="434"/>
      <c r="EWD1" s="434"/>
      <c r="EWE1" s="434"/>
      <c r="EWF1" s="434"/>
      <c r="EWG1" s="434"/>
      <c r="EWH1" s="434"/>
      <c r="EWI1" s="434"/>
      <c r="EWJ1" s="434"/>
      <c r="EWK1" s="434"/>
      <c r="EWL1" s="434"/>
      <c r="EWM1" s="434"/>
      <c r="EWN1" s="434"/>
      <c r="EWO1" s="434"/>
      <c r="EWP1" s="434"/>
      <c r="EWQ1" s="434"/>
      <c r="EWR1" s="434"/>
      <c r="EWS1" s="434"/>
      <c r="EWT1" s="434"/>
      <c r="EWU1" s="434"/>
      <c r="EWV1" s="434"/>
      <c r="EWW1" s="434"/>
      <c r="EWX1" s="434"/>
      <c r="EWY1" s="434"/>
      <c r="EWZ1" s="434"/>
      <c r="EXA1" s="434"/>
      <c r="EXB1" s="434"/>
      <c r="EXC1" s="434"/>
      <c r="EXD1" s="434"/>
      <c r="EXE1" s="434"/>
      <c r="EXF1" s="434"/>
      <c r="EXG1" s="434"/>
      <c r="EXH1" s="434"/>
      <c r="EXI1" s="434"/>
      <c r="EXJ1" s="434"/>
      <c r="EXK1" s="434"/>
      <c r="EXL1" s="434"/>
      <c r="EXM1" s="434"/>
      <c r="EXN1" s="434"/>
      <c r="EXO1" s="434"/>
      <c r="EXP1" s="434"/>
      <c r="EXQ1" s="434"/>
      <c r="EXR1" s="434"/>
      <c r="EXS1" s="434"/>
      <c r="EXT1" s="434"/>
      <c r="EXU1" s="434"/>
      <c r="EXV1" s="434"/>
      <c r="EXW1" s="434"/>
      <c r="EXX1" s="434"/>
      <c r="EXY1" s="434"/>
      <c r="EXZ1" s="434"/>
      <c r="EYA1" s="434"/>
      <c r="EYB1" s="434"/>
      <c r="EYC1" s="434"/>
      <c r="EYD1" s="434"/>
      <c r="EYE1" s="434"/>
      <c r="EYF1" s="434"/>
      <c r="EYG1" s="434"/>
      <c r="EYH1" s="434"/>
      <c r="EYI1" s="434"/>
      <c r="EYJ1" s="434"/>
      <c r="EYK1" s="434"/>
      <c r="EYL1" s="434"/>
      <c r="EYM1" s="434"/>
      <c r="EYN1" s="434"/>
      <c r="EYO1" s="434"/>
      <c r="EYP1" s="434"/>
      <c r="EYQ1" s="434"/>
      <c r="EYR1" s="434"/>
      <c r="EYS1" s="434"/>
      <c r="EYT1" s="434"/>
      <c r="EYU1" s="434"/>
      <c r="EYV1" s="434"/>
      <c r="EYW1" s="434"/>
      <c r="EYX1" s="434"/>
      <c r="EYY1" s="434"/>
      <c r="EYZ1" s="434"/>
      <c r="EZA1" s="434"/>
      <c r="EZB1" s="434"/>
      <c r="EZC1" s="434"/>
      <c r="EZD1" s="434"/>
      <c r="EZE1" s="434"/>
      <c r="EZF1" s="434"/>
      <c r="EZG1" s="434"/>
      <c r="EZH1" s="434"/>
      <c r="EZI1" s="434"/>
      <c r="EZJ1" s="434"/>
      <c r="EZK1" s="434"/>
      <c r="EZL1" s="434"/>
      <c r="EZM1" s="434"/>
      <c r="EZN1" s="434"/>
      <c r="EZO1" s="434"/>
      <c r="EZP1" s="434"/>
      <c r="EZQ1" s="434"/>
      <c r="EZR1" s="434"/>
      <c r="EZS1" s="434"/>
      <c r="EZT1" s="434"/>
      <c r="EZU1" s="434"/>
      <c r="EZV1" s="434"/>
      <c r="EZW1" s="434"/>
      <c r="EZX1" s="434"/>
      <c r="EZY1" s="434"/>
      <c r="EZZ1" s="434"/>
      <c r="FAA1" s="434"/>
      <c r="FAB1" s="434"/>
      <c r="FAC1" s="434"/>
      <c r="FAD1" s="434"/>
      <c r="FAE1" s="434"/>
      <c r="FAF1" s="434"/>
      <c r="FAG1" s="434"/>
      <c r="FAH1" s="434"/>
      <c r="FAI1" s="434"/>
      <c r="FAJ1" s="434"/>
      <c r="FAK1" s="434"/>
      <c r="FAL1" s="434"/>
      <c r="FAM1" s="434"/>
      <c r="FAN1" s="434"/>
      <c r="FAO1" s="434"/>
      <c r="FAP1" s="434"/>
      <c r="FAQ1" s="434"/>
      <c r="FAR1" s="434"/>
      <c r="FAS1" s="434"/>
      <c r="FAT1" s="434"/>
      <c r="FAU1" s="434"/>
      <c r="FAV1" s="434"/>
      <c r="FAW1" s="434"/>
      <c r="FAX1" s="434"/>
      <c r="FAY1" s="434"/>
      <c r="FAZ1" s="434"/>
      <c r="FBA1" s="434"/>
      <c r="FBB1" s="434"/>
      <c r="FBC1" s="434"/>
      <c r="FBD1" s="434"/>
      <c r="FBE1" s="434"/>
      <c r="FBF1" s="434"/>
      <c r="FBG1" s="434"/>
      <c r="FBH1" s="434"/>
      <c r="FBI1" s="434"/>
      <c r="FBJ1" s="434"/>
      <c r="FBK1" s="434"/>
      <c r="FBL1" s="434"/>
      <c r="FBM1" s="434"/>
      <c r="FBN1" s="434"/>
      <c r="FBO1" s="434"/>
      <c r="FBP1" s="434"/>
      <c r="FBQ1" s="434"/>
      <c r="FBR1" s="434"/>
      <c r="FBS1" s="434"/>
      <c r="FBT1" s="434"/>
      <c r="FBU1" s="434"/>
      <c r="FBV1" s="434"/>
      <c r="FBW1" s="434"/>
      <c r="FBX1" s="434"/>
      <c r="FBY1" s="434"/>
      <c r="FBZ1" s="434"/>
      <c r="FCA1" s="434"/>
      <c r="FCB1" s="434"/>
      <c r="FCC1" s="434"/>
      <c r="FCD1" s="434"/>
      <c r="FCE1" s="434"/>
      <c r="FCF1" s="434"/>
      <c r="FCG1" s="434"/>
      <c r="FCH1" s="434"/>
      <c r="FCI1" s="434"/>
      <c r="FCJ1" s="434"/>
      <c r="FCK1" s="434"/>
      <c r="FCL1" s="434"/>
      <c r="FCM1" s="434"/>
      <c r="FCN1" s="434"/>
      <c r="FCO1" s="434"/>
      <c r="FCP1" s="434"/>
      <c r="FCQ1" s="434"/>
      <c r="FCR1" s="434"/>
      <c r="FCS1" s="434"/>
      <c r="FCT1" s="434"/>
      <c r="FCU1" s="434"/>
      <c r="FCV1" s="434"/>
      <c r="FCW1" s="434"/>
      <c r="FCX1" s="434"/>
      <c r="FCY1" s="434"/>
      <c r="FCZ1" s="434"/>
      <c r="FDA1" s="434"/>
      <c r="FDB1" s="434"/>
      <c r="FDC1" s="434"/>
      <c r="FDD1" s="434"/>
      <c r="FDE1" s="434"/>
      <c r="FDF1" s="434"/>
      <c r="FDG1" s="434"/>
      <c r="FDH1" s="434"/>
      <c r="FDI1" s="434"/>
      <c r="FDJ1" s="434"/>
      <c r="FDK1" s="434"/>
      <c r="FDL1" s="434"/>
      <c r="FDM1" s="434"/>
      <c r="FDN1" s="434"/>
      <c r="FDO1" s="434"/>
      <c r="FDP1" s="434"/>
      <c r="FDQ1" s="434"/>
      <c r="FDR1" s="434"/>
      <c r="FDS1" s="434"/>
      <c r="FDT1" s="434"/>
      <c r="FDU1" s="434"/>
      <c r="FDV1" s="434"/>
      <c r="FDW1" s="434"/>
      <c r="FDX1" s="434"/>
      <c r="FDY1" s="434"/>
      <c r="FDZ1" s="434"/>
      <c r="FEA1" s="434"/>
      <c r="FEB1" s="434"/>
      <c r="FEC1" s="434"/>
      <c r="FED1" s="434"/>
      <c r="FEE1" s="434"/>
      <c r="FEF1" s="434"/>
      <c r="FEG1" s="434"/>
      <c r="FEH1" s="434"/>
      <c r="FEI1" s="434"/>
      <c r="FEJ1" s="434"/>
      <c r="FEK1" s="434"/>
      <c r="FEL1" s="434"/>
      <c r="FEM1" s="434"/>
      <c r="FEN1" s="434"/>
      <c r="FEO1" s="434"/>
      <c r="FEP1" s="434"/>
      <c r="FEQ1" s="434"/>
      <c r="FER1" s="434"/>
      <c r="FES1" s="434"/>
      <c r="FET1" s="434"/>
      <c r="FEU1" s="434"/>
      <c r="FEV1" s="434"/>
      <c r="FEW1" s="434"/>
      <c r="FEX1" s="434"/>
      <c r="FEY1" s="434"/>
      <c r="FEZ1" s="434"/>
      <c r="FFA1" s="434"/>
      <c r="FFB1" s="434"/>
      <c r="FFC1" s="434"/>
      <c r="FFD1" s="434"/>
      <c r="FFE1" s="434"/>
      <c r="FFF1" s="434"/>
      <c r="FFG1" s="434"/>
      <c r="FFH1" s="434"/>
      <c r="FFI1" s="434"/>
      <c r="FFJ1" s="434"/>
      <c r="FFK1" s="434"/>
      <c r="FFL1" s="434"/>
      <c r="FFM1" s="434"/>
      <c r="FFN1" s="434"/>
      <c r="FFO1" s="434"/>
      <c r="FFP1" s="434"/>
      <c r="FFQ1" s="434"/>
      <c r="FFR1" s="434"/>
      <c r="FFS1" s="434"/>
      <c r="FFT1" s="434"/>
      <c r="FFU1" s="434"/>
      <c r="FFV1" s="434"/>
      <c r="FFW1" s="434"/>
      <c r="FFX1" s="434"/>
      <c r="FFY1" s="434"/>
      <c r="FFZ1" s="434"/>
      <c r="FGA1" s="434"/>
      <c r="FGB1" s="434"/>
      <c r="FGC1" s="434"/>
      <c r="FGD1" s="434"/>
      <c r="FGE1" s="434"/>
      <c r="FGF1" s="434"/>
      <c r="FGG1" s="434"/>
      <c r="FGH1" s="434"/>
      <c r="FGI1" s="434"/>
      <c r="FGJ1" s="434"/>
      <c r="FGK1" s="434"/>
      <c r="FGL1" s="434"/>
      <c r="FGM1" s="434"/>
      <c r="FGN1" s="434"/>
      <c r="FGO1" s="434"/>
      <c r="FGP1" s="434"/>
      <c r="FGQ1" s="434"/>
      <c r="FGR1" s="434"/>
      <c r="FGS1" s="434"/>
      <c r="FGT1" s="434"/>
      <c r="FGU1" s="434"/>
      <c r="FGV1" s="434"/>
      <c r="FGW1" s="434"/>
      <c r="FGX1" s="434"/>
      <c r="FGY1" s="434"/>
      <c r="FGZ1" s="434"/>
      <c r="FHA1" s="434"/>
      <c r="FHB1" s="434"/>
      <c r="FHC1" s="434"/>
      <c r="FHD1" s="434"/>
      <c r="FHE1" s="434"/>
      <c r="FHF1" s="434"/>
      <c r="FHG1" s="434"/>
      <c r="FHH1" s="434"/>
      <c r="FHI1" s="434"/>
      <c r="FHJ1" s="434"/>
      <c r="FHK1" s="434"/>
      <c r="FHL1" s="434"/>
      <c r="FHM1" s="434"/>
      <c r="FHN1" s="434"/>
      <c r="FHO1" s="434"/>
      <c r="FHP1" s="434"/>
      <c r="FHQ1" s="434"/>
      <c r="FHR1" s="434"/>
      <c r="FHS1" s="434"/>
      <c r="FHT1" s="434"/>
      <c r="FHU1" s="434"/>
      <c r="FHV1" s="434"/>
      <c r="FHW1" s="434"/>
      <c r="FHX1" s="434"/>
      <c r="FHY1" s="434"/>
      <c r="FHZ1" s="434"/>
      <c r="FIA1" s="434"/>
      <c r="FIB1" s="434"/>
      <c r="FIC1" s="434"/>
      <c r="FID1" s="434"/>
      <c r="FIE1" s="434"/>
      <c r="FIF1" s="434"/>
      <c r="FIG1" s="434"/>
      <c r="FIH1" s="434"/>
      <c r="FII1" s="434"/>
      <c r="FIJ1" s="434"/>
      <c r="FIK1" s="434"/>
      <c r="FIL1" s="434"/>
      <c r="FIM1" s="434"/>
      <c r="FIN1" s="434"/>
      <c r="FIO1" s="434"/>
      <c r="FIP1" s="434"/>
      <c r="FIQ1" s="434"/>
      <c r="FIR1" s="434"/>
      <c r="FIS1" s="434"/>
      <c r="FIT1" s="434"/>
      <c r="FIU1" s="434"/>
      <c r="FIV1" s="434"/>
      <c r="FIW1" s="434"/>
      <c r="FIX1" s="434"/>
      <c r="FIY1" s="434"/>
      <c r="FIZ1" s="434"/>
      <c r="FJA1" s="434"/>
      <c r="FJB1" s="434"/>
      <c r="FJC1" s="434"/>
      <c r="FJD1" s="434"/>
      <c r="FJE1" s="434"/>
      <c r="FJF1" s="434"/>
      <c r="FJG1" s="434"/>
      <c r="FJH1" s="434"/>
      <c r="FJI1" s="434"/>
      <c r="FJJ1" s="434"/>
      <c r="FJK1" s="434"/>
      <c r="FJL1" s="434"/>
      <c r="FJM1" s="434"/>
      <c r="FJN1" s="434"/>
      <c r="FJO1" s="434"/>
      <c r="FJP1" s="434"/>
      <c r="FJQ1" s="434"/>
      <c r="FJR1" s="434"/>
      <c r="FJS1" s="434"/>
      <c r="FJT1" s="434"/>
      <c r="FJU1" s="434"/>
      <c r="FJV1" s="434"/>
      <c r="FJW1" s="434"/>
      <c r="FJX1" s="434"/>
      <c r="FJY1" s="434"/>
      <c r="FJZ1" s="434"/>
      <c r="FKA1" s="434"/>
      <c r="FKB1" s="434"/>
      <c r="FKC1" s="434"/>
      <c r="FKD1" s="434"/>
      <c r="FKE1" s="434"/>
      <c r="FKF1" s="434"/>
      <c r="FKG1" s="434"/>
      <c r="FKH1" s="434"/>
      <c r="FKI1" s="434"/>
      <c r="FKJ1" s="434"/>
      <c r="FKK1" s="434"/>
      <c r="FKL1" s="434"/>
      <c r="FKM1" s="434"/>
      <c r="FKN1" s="434"/>
      <c r="FKO1" s="434"/>
      <c r="FKP1" s="434"/>
      <c r="FKQ1" s="434"/>
      <c r="FKR1" s="434"/>
      <c r="FKS1" s="434"/>
      <c r="FKT1" s="434"/>
      <c r="FKU1" s="434"/>
      <c r="FKV1" s="434"/>
      <c r="FKW1" s="434"/>
      <c r="FKX1" s="434"/>
      <c r="FKY1" s="434"/>
      <c r="FKZ1" s="434"/>
      <c r="FLA1" s="434"/>
      <c r="FLB1" s="434"/>
      <c r="FLC1" s="434"/>
      <c r="FLD1" s="434"/>
      <c r="FLE1" s="434"/>
      <c r="FLF1" s="434"/>
      <c r="FLG1" s="434"/>
      <c r="FLH1" s="434"/>
      <c r="FLI1" s="434"/>
      <c r="FLJ1" s="434"/>
      <c r="FLK1" s="434"/>
      <c r="FLL1" s="434"/>
      <c r="FLM1" s="434"/>
      <c r="FLN1" s="434"/>
      <c r="FLO1" s="434"/>
      <c r="FLP1" s="434"/>
      <c r="FLQ1" s="434"/>
      <c r="FLR1" s="434"/>
      <c r="FLS1" s="434"/>
      <c r="FLT1" s="434"/>
      <c r="FLU1" s="434"/>
      <c r="FLV1" s="434"/>
      <c r="FLW1" s="434"/>
      <c r="FLX1" s="434"/>
      <c r="FLY1" s="434"/>
      <c r="FLZ1" s="434"/>
      <c r="FMA1" s="434"/>
      <c r="FMB1" s="434"/>
      <c r="FMC1" s="434"/>
      <c r="FMD1" s="434"/>
      <c r="FME1" s="434"/>
      <c r="FMF1" s="434"/>
      <c r="FMG1" s="434"/>
      <c r="FMH1" s="434"/>
      <c r="FMI1" s="434"/>
      <c r="FMJ1" s="434"/>
      <c r="FMK1" s="434"/>
      <c r="FML1" s="434"/>
      <c r="FMM1" s="434"/>
      <c r="FMN1" s="434"/>
      <c r="FMO1" s="434"/>
      <c r="FMP1" s="434"/>
      <c r="FMQ1" s="434"/>
      <c r="FMR1" s="434"/>
      <c r="FMS1" s="434"/>
      <c r="FMT1" s="434"/>
      <c r="FMU1" s="434"/>
      <c r="FMV1" s="434"/>
      <c r="FMW1" s="434"/>
      <c r="FMX1" s="434"/>
      <c r="FMY1" s="434"/>
      <c r="FMZ1" s="434"/>
      <c r="FNA1" s="434"/>
      <c r="FNB1" s="434"/>
      <c r="FNC1" s="434"/>
      <c r="FND1" s="434"/>
      <c r="FNE1" s="434"/>
      <c r="FNF1" s="434"/>
      <c r="FNG1" s="434"/>
      <c r="FNH1" s="434"/>
      <c r="FNI1" s="434"/>
      <c r="FNJ1" s="434"/>
      <c r="FNK1" s="434"/>
      <c r="FNL1" s="434"/>
      <c r="FNM1" s="434"/>
      <c r="FNN1" s="434"/>
      <c r="FNO1" s="434"/>
      <c r="FNP1" s="434"/>
      <c r="FNQ1" s="434"/>
      <c r="FNR1" s="434"/>
      <c r="FNS1" s="434"/>
      <c r="FNT1" s="434"/>
      <c r="FNU1" s="434"/>
      <c r="FNV1" s="434"/>
      <c r="FNW1" s="434"/>
      <c r="FNX1" s="434"/>
      <c r="FNY1" s="434"/>
      <c r="FNZ1" s="434"/>
      <c r="FOA1" s="434"/>
      <c r="FOB1" s="434"/>
      <c r="FOC1" s="434"/>
      <c r="FOD1" s="434"/>
      <c r="FOE1" s="434"/>
      <c r="FOF1" s="434"/>
      <c r="FOG1" s="434"/>
      <c r="FOH1" s="434"/>
      <c r="FOI1" s="434"/>
      <c r="FOJ1" s="434"/>
      <c r="FOK1" s="434"/>
      <c r="FOL1" s="434"/>
      <c r="FOM1" s="434"/>
      <c r="FON1" s="434"/>
      <c r="FOO1" s="434"/>
      <c r="FOP1" s="434"/>
      <c r="FOQ1" s="434"/>
      <c r="FOR1" s="434"/>
      <c r="FOS1" s="434"/>
      <c r="FOT1" s="434"/>
      <c r="FOU1" s="434"/>
      <c r="FOV1" s="434"/>
      <c r="FOW1" s="434"/>
      <c r="FOX1" s="434"/>
      <c r="FOY1" s="434"/>
      <c r="FOZ1" s="434"/>
      <c r="FPA1" s="434"/>
      <c r="FPB1" s="434"/>
      <c r="FPC1" s="434"/>
      <c r="FPD1" s="434"/>
      <c r="FPE1" s="434"/>
      <c r="FPF1" s="434"/>
      <c r="FPG1" s="434"/>
      <c r="FPH1" s="434"/>
      <c r="FPI1" s="434"/>
      <c r="FPJ1" s="434"/>
      <c r="FPK1" s="434"/>
      <c r="FPL1" s="434"/>
      <c r="FPM1" s="434"/>
      <c r="FPN1" s="434"/>
      <c r="FPO1" s="434"/>
      <c r="FPP1" s="434"/>
      <c r="FPQ1" s="434"/>
      <c r="FPR1" s="434"/>
      <c r="FPS1" s="434"/>
      <c r="FPT1" s="434"/>
      <c r="FPU1" s="434"/>
      <c r="FPV1" s="434"/>
      <c r="FPW1" s="434"/>
      <c r="FPX1" s="434"/>
      <c r="FPY1" s="434"/>
      <c r="FPZ1" s="434"/>
      <c r="FQA1" s="434"/>
      <c r="FQB1" s="434"/>
      <c r="FQC1" s="434"/>
      <c r="FQD1" s="434"/>
      <c r="FQE1" s="434"/>
      <c r="FQF1" s="434"/>
      <c r="FQG1" s="434"/>
      <c r="FQH1" s="434"/>
      <c r="FQI1" s="434"/>
      <c r="FQJ1" s="434"/>
      <c r="FQK1" s="434"/>
      <c r="FQL1" s="434"/>
      <c r="FQM1" s="434"/>
      <c r="FQN1" s="434"/>
      <c r="FQO1" s="434"/>
      <c r="FQP1" s="434"/>
      <c r="FQQ1" s="434"/>
      <c r="FQR1" s="434"/>
      <c r="FQS1" s="434"/>
      <c r="FQT1" s="434"/>
      <c r="FQU1" s="434"/>
      <c r="FQV1" s="434"/>
      <c r="FQW1" s="434"/>
      <c r="FQX1" s="434"/>
      <c r="FQY1" s="434"/>
      <c r="FQZ1" s="434"/>
      <c r="FRA1" s="434"/>
      <c r="FRB1" s="434"/>
      <c r="FRC1" s="434"/>
      <c r="FRD1" s="434"/>
      <c r="FRE1" s="434"/>
      <c r="FRF1" s="434"/>
      <c r="FRG1" s="434"/>
      <c r="FRH1" s="434"/>
      <c r="FRI1" s="434"/>
      <c r="FRJ1" s="434"/>
      <c r="FRK1" s="434"/>
      <c r="FRL1" s="434"/>
      <c r="FRM1" s="434"/>
      <c r="FRN1" s="434"/>
      <c r="FRO1" s="434"/>
      <c r="FRP1" s="434"/>
      <c r="FRQ1" s="434"/>
      <c r="FRR1" s="434"/>
      <c r="FRS1" s="434"/>
      <c r="FRT1" s="434"/>
      <c r="FRU1" s="434"/>
      <c r="FRV1" s="434"/>
      <c r="FRW1" s="434"/>
      <c r="FRX1" s="434"/>
      <c r="FRY1" s="434"/>
      <c r="FRZ1" s="434"/>
      <c r="FSA1" s="434"/>
      <c r="FSB1" s="434"/>
      <c r="FSC1" s="434"/>
      <c r="FSD1" s="434"/>
      <c r="FSE1" s="434"/>
      <c r="FSF1" s="434"/>
      <c r="FSG1" s="434"/>
      <c r="FSH1" s="434"/>
      <c r="FSI1" s="434"/>
      <c r="FSJ1" s="434"/>
      <c r="FSK1" s="434"/>
      <c r="FSL1" s="434"/>
      <c r="FSM1" s="434"/>
      <c r="FSN1" s="434"/>
      <c r="FSO1" s="434"/>
      <c r="FSP1" s="434"/>
      <c r="FSQ1" s="434"/>
      <c r="FSR1" s="434"/>
      <c r="FSS1" s="434"/>
      <c r="FST1" s="434"/>
      <c r="FSU1" s="434"/>
      <c r="FSV1" s="434"/>
      <c r="FSW1" s="434"/>
      <c r="FSX1" s="434"/>
      <c r="FSY1" s="434"/>
      <c r="FSZ1" s="434"/>
      <c r="FTA1" s="434"/>
      <c r="FTB1" s="434"/>
      <c r="FTC1" s="434"/>
      <c r="FTD1" s="434"/>
      <c r="FTE1" s="434"/>
      <c r="FTF1" s="434"/>
      <c r="FTG1" s="434"/>
      <c r="FTH1" s="434"/>
      <c r="FTI1" s="434"/>
      <c r="FTJ1" s="434"/>
      <c r="FTK1" s="434"/>
      <c r="FTL1" s="434"/>
      <c r="FTM1" s="434"/>
      <c r="FTN1" s="434"/>
      <c r="FTO1" s="434"/>
      <c r="FTP1" s="434"/>
      <c r="FTQ1" s="434"/>
      <c r="FTR1" s="434"/>
      <c r="FTS1" s="434"/>
      <c r="FTT1" s="434"/>
      <c r="FTU1" s="434"/>
      <c r="FTV1" s="434"/>
      <c r="FTW1" s="434"/>
      <c r="FTX1" s="434"/>
      <c r="FTY1" s="434"/>
      <c r="FTZ1" s="434"/>
      <c r="FUA1" s="434"/>
      <c r="FUB1" s="434"/>
      <c r="FUC1" s="434"/>
      <c r="FUD1" s="434"/>
      <c r="FUE1" s="434"/>
      <c r="FUF1" s="434"/>
      <c r="FUG1" s="434"/>
      <c r="FUH1" s="434"/>
      <c r="FUI1" s="434"/>
      <c r="FUJ1" s="434"/>
      <c r="FUK1" s="434"/>
      <c r="FUL1" s="434"/>
      <c r="FUM1" s="434"/>
      <c r="FUN1" s="434"/>
      <c r="FUO1" s="434"/>
      <c r="FUP1" s="434"/>
      <c r="FUQ1" s="434"/>
      <c r="FUR1" s="434"/>
      <c r="FUS1" s="434"/>
      <c r="FUT1" s="434"/>
      <c r="FUU1" s="434"/>
      <c r="FUV1" s="434"/>
      <c r="FUW1" s="434"/>
      <c r="FUX1" s="434"/>
      <c r="FUY1" s="434"/>
      <c r="FUZ1" s="434"/>
      <c r="FVA1" s="434"/>
      <c r="FVB1" s="434"/>
      <c r="FVC1" s="434"/>
      <c r="FVD1" s="434"/>
      <c r="FVE1" s="434"/>
      <c r="FVF1" s="434"/>
      <c r="FVG1" s="434"/>
      <c r="FVH1" s="434"/>
      <c r="FVI1" s="434"/>
      <c r="FVJ1" s="434"/>
      <c r="FVK1" s="434"/>
      <c r="FVL1" s="434"/>
      <c r="FVM1" s="434"/>
      <c r="FVN1" s="434"/>
      <c r="FVO1" s="434"/>
      <c r="FVP1" s="434"/>
      <c r="FVQ1" s="434"/>
      <c r="FVR1" s="434"/>
      <c r="FVS1" s="434"/>
      <c r="FVT1" s="434"/>
      <c r="FVU1" s="434"/>
      <c r="FVV1" s="434"/>
      <c r="FVW1" s="434"/>
      <c r="FVX1" s="434"/>
      <c r="FVY1" s="434"/>
      <c r="FVZ1" s="434"/>
      <c r="FWA1" s="434"/>
      <c r="FWB1" s="434"/>
      <c r="FWC1" s="434"/>
      <c r="FWD1" s="434"/>
      <c r="FWE1" s="434"/>
      <c r="FWF1" s="434"/>
      <c r="FWG1" s="434"/>
      <c r="FWH1" s="434"/>
      <c r="FWI1" s="434"/>
      <c r="FWJ1" s="434"/>
      <c r="FWK1" s="434"/>
      <c r="FWL1" s="434"/>
      <c r="FWM1" s="434"/>
      <c r="FWN1" s="434"/>
      <c r="FWO1" s="434"/>
      <c r="FWP1" s="434"/>
      <c r="FWQ1" s="434"/>
      <c r="FWR1" s="434"/>
      <c r="FWS1" s="434"/>
      <c r="FWT1" s="434"/>
      <c r="FWU1" s="434"/>
      <c r="FWV1" s="434"/>
      <c r="FWW1" s="434"/>
      <c r="FWX1" s="434"/>
      <c r="FWY1" s="434"/>
      <c r="FWZ1" s="434"/>
      <c r="FXA1" s="434"/>
      <c r="FXB1" s="434"/>
      <c r="FXC1" s="434"/>
      <c r="FXD1" s="434"/>
      <c r="FXE1" s="434"/>
      <c r="FXF1" s="434"/>
      <c r="FXG1" s="434"/>
      <c r="FXH1" s="434"/>
      <c r="FXI1" s="434"/>
      <c r="FXJ1" s="434"/>
      <c r="FXK1" s="434"/>
      <c r="FXL1" s="434"/>
      <c r="FXM1" s="434"/>
      <c r="FXN1" s="434"/>
      <c r="FXO1" s="434"/>
      <c r="FXP1" s="434"/>
      <c r="FXQ1" s="434"/>
      <c r="FXR1" s="434"/>
      <c r="FXS1" s="434"/>
      <c r="FXT1" s="434"/>
      <c r="FXU1" s="434"/>
      <c r="FXV1" s="434"/>
      <c r="FXW1" s="434"/>
      <c r="FXX1" s="434"/>
      <c r="FXY1" s="434"/>
      <c r="FXZ1" s="434"/>
      <c r="FYA1" s="434"/>
      <c r="FYB1" s="434"/>
      <c r="FYC1" s="434"/>
      <c r="FYD1" s="434"/>
      <c r="FYE1" s="434"/>
      <c r="FYF1" s="434"/>
      <c r="FYG1" s="434"/>
      <c r="FYH1" s="434"/>
      <c r="FYI1" s="434"/>
      <c r="FYJ1" s="434"/>
      <c r="FYK1" s="434"/>
      <c r="FYL1" s="434"/>
      <c r="FYM1" s="434"/>
      <c r="FYN1" s="434"/>
      <c r="FYO1" s="434"/>
      <c r="FYP1" s="434"/>
      <c r="FYQ1" s="434"/>
      <c r="FYR1" s="434"/>
      <c r="FYS1" s="434"/>
      <c r="FYT1" s="434"/>
      <c r="FYU1" s="434"/>
      <c r="FYV1" s="434"/>
      <c r="FYW1" s="434"/>
      <c r="FYX1" s="434"/>
      <c r="FYY1" s="434"/>
      <c r="FYZ1" s="434"/>
      <c r="FZA1" s="434"/>
      <c r="FZB1" s="434"/>
      <c r="FZC1" s="434"/>
      <c r="FZD1" s="434"/>
      <c r="FZE1" s="434"/>
      <c r="FZF1" s="434"/>
      <c r="FZG1" s="434"/>
      <c r="FZH1" s="434"/>
      <c r="FZI1" s="434"/>
      <c r="FZJ1" s="434"/>
      <c r="FZK1" s="434"/>
      <c r="FZL1" s="434"/>
      <c r="FZM1" s="434"/>
      <c r="FZN1" s="434"/>
      <c r="FZO1" s="434"/>
      <c r="FZP1" s="434"/>
      <c r="FZQ1" s="434"/>
      <c r="FZR1" s="434"/>
      <c r="FZS1" s="434"/>
      <c r="FZT1" s="434"/>
      <c r="FZU1" s="434"/>
      <c r="FZV1" s="434"/>
      <c r="FZW1" s="434"/>
      <c r="FZX1" s="434"/>
      <c r="FZY1" s="434"/>
      <c r="FZZ1" s="434"/>
      <c r="GAA1" s="434"/>
      <c r="GAB1" s="434"/>
      <c r="GAC1" s="434"/>
      <c r="GAD1" s="434"/>
      <c r="GAE1" s="434"/>
      <c r="GAF1" s="434"/>
      <c r="GAG1" s="434"/>
      <c r="GAH1" s="434"/>
      <c r="GAI1" s="434"/>
      <c r="GAJ1" s="434"/>
      <c r="GAK1" s="434"/>
      <c r="GAL1" s="434"/>
      <c r="GAM1" s="434"/>
      <c r="GAN1" s="434"/>
      <c r="GAO1" s="434"/>
      <c r="GAP1" s="434"/>
      <c r="GAQ1" s="434"/>
      <c r="GAR1" s="434"/>
      <c r="GAS1" s="434"/>
      <c r="GAT1" s="434"/>
      <c r="GAU1" s="434"/>
      <c r="GAV1" s="434"/>
      <c r="GAW1" s="434"/>
      <c r="GAX1" s="434"/>
      <c r="GAY1" s="434"/>
      <c r="GAZ1" s="434"/>
      <c r="GBA1" s="434"/>
      <c r="GBB1" s="434"/>
      <c r="GBC1" s="434"/>
      <c r="GBD1" s="434"/>
      <c r="GBE1" s="434"/>
      <c r="GBF1" s="434"/>
      <c r="GBG1" s="434"/>
      <c r="GBH1" s="434"/>
      <c r="GBI1" s="434"/>
      <c r="GBJ1" s="434"/>
      <c r="GBK1" s="434"/>
      <c r="GBL1" s="434"/>
      <c r="GBM1" s="434"/>
      <c r="GBN1" s="434"/>
      <c r="GBO1" s="434"/>
      <c r="GBP1" s="434"/>
      <c r="GBQ1" s="434"/>
      <c r="GBR1" s="434"/>
      <c r="GBS1" s="434"/>
      <c r="GBT1" s="434"/>
      <c r="GBU1" s="434"/>
      <c r="GBV1" s="434"/>
      <c r="GBW1" s="434"/>
      <c r="GBX1" s="434"/>
      <c r="GBY1" s="434"/>
      <c r="GBZ1" s="434"/>
      <c r="GCA1" s="434"/>
      <c r="GCB1" s="434"/>
      <c r="GCC1" s="434"/>
      <c r="GCD1" s="434"/>
      <c r="GCE1" s="434"/>
      <c r="GCF1" s="434"/>
      <c r="GCG1" s="434"/>
      <c r="GCH1" s="434"/>
      <c r="GCI1" s="434"/>
      <c r="GCJ1" s="434"/>
      <c r="GCK1" s="434"/>
      <c r="GCL1" s="434"/>
      <c r="GCM1" s="434"/>
      <c r="GCN1" s="434"/>
      <c r="GCO1" s="434"/>
      <c r="GCP1" s="434"/>
      <c r="GCQ1" s="434"/>
      <c r="GCR1" s="434"/>
      <c r="GCS1" s="434"/>
      <c r="GCT1" s="434"/>
      <c r="GCU1" s="434"/>
      <c r="GCV1" s="434"/>
      <c r="GCW1" s="434"/>
      <c r="GCX1" s="434"/>
      <c r="GCY1" s="434"/>
      <c r="GCZ1" s="434"/>
      <c r="GDA1" s="434"/>
      <c r="GDB1" s="434"/>
      <c r="GDC1" s="434"/>
      <c r="GDD1" s="434"/>
      <c r="GDE1" s="434"/>
      <c r="GDF1" s="434"/>
      <c r="GDG1" s="434"/>
      <c r="GDH1" s="434"/>
      <c r="GDI1" s="434"/>
      <c r="GDJ1" s="434"/>
      <c r="GDK1" s="434"/>
      <c r="GDL1" s="434"/>
      <c r="GDM1" s="434"/>
      <c r="GDN1" s="434"/>
      <c r="GDO1" s="434"/>
      <c r="GDP1" s="434"/>
      <c r="GDQ1" s="434"/>
      <c r="GDR1" s="434"/>
      <c r="GDS1" s="434"/>
      <c r="GDT1" s="434"/>
      <c r="GDU1" s="434"/>
      <c r="GDV1" s="434"/>
      <c r="GDW1" s="434"/>
      <c r="GDX1" s="434"/>
      <c r="GDY1" s="434"/>
      <c r="GDZ1" s="434"/>
      <c r="GEA1" s="434"/>
      <c r="GEB1" s="434"/>
      <c r="GEC1" s="434"/>
      <c r="GED1" s="434"/>
      <c r="GEE1" s="434"/>
      <c r="GEF1" s="434"/>
      <c r="GEG1" s="434"/>
      <c r="GEH1" s="434"/>
      <c r="GEI1" s="434"/>
      <c r="GEJ1" s="434"/>
      <c r="GEK1" s="434"/>
      <c r="GEL1" s="434"/>
      <c r="GEM1" s="434"/>
      <c r="GEN1" s="434"/>
      <c r="GEO1" s="434"/>
      <c r="GEP1" s="434"/>
      <c r="GEQ1" s="434"/>
      <c r="GER1" s="434"/>
      <c r="GES1" s="434"/>
      <c r="GET1" s="434"/>
      <c r="GEU1" s="434"/>
      <c r="GEV1" s="434"/>
      <c r="GEW1" s="434"/>
      <c r="GEX1" s="434"/>
      <c r="GEY1" s="434"/>
      <c r="GEZ1" s="434"/>
      <c r="GFA1" s="434"/>
      <c r="GFB1" s="434"/>
      <c r="GFC1" s="434"/>
      <c r="GFD1" s="434"/>
      <c r="GFE1" s="434"/>
      <c r="GFF1" s="434"/>
      <c r="GFG1" s="434"/>
      <c r="GFH1" s="434"/>
      <c r="GFI1" s="434"/>
      <c r="GFJ1" s="434"/>
      <c r="GFK1" s="434"/>
      <c r="GFL1" s="434"/>
      <c r="GFM1" s="434"/>
      <c r="GFN1" s="434"/>
      <c r="GFO1" s="434"/>
      <c r="GFP1" s="434"/>
      <c r="GFQ1" s="434"/>
      <c r="GFR1" s="434"/>
      <c r="GFS1" s="434"/>
      <c r="GFT1" s="434"/>
      <c r="GFU1" s="434"/>
      <c r="GFV1" s="434"/>
      <c r="GFW1" s="434"/>
      <c r="GFX1" s="434"/>
      <c r="GFY1" s="434"/>
      <c r="GFZ1" s="434"/>
      <c r="GGA1" s="434"/>
      <c r="GGB1" s="434"/>
      <c r="GGC1" s="434"/>
      <c r="GGD1" s="434"/>
      <c r="GGE1" s="434"/>
      <c r="GGF1" s="434"/>
      <c r="GGG1" s="434"/>
      <c r="GGH1" s="434"/>
      <c r="GGI1" s="434"/>
      <c r="GGJ1" s="434"/>
      <c r="GGK1" s="434"/>
      <c r="GGL1" s="434"/>
      <c r="GGM1" s="434"/>
      <c r="GGN1" s="434"/>
      <c r="GGO1" s="434"/>
      <c r="GGP1" s="434"/>
      <c r="GGQ1" s="434"/>
      <c r="GGR1" s="434"/>
      <c r="GGS1" s="434"/>
      <c r="GGT1" s="434"/>
      <c r="GGU1" s="434"/>
      <c r="GGV1" s="434"/>
      <c r="GGW1" s="434"/>
      <c r="GGX1" s="434"/>
      <c r="GGY1" s="434"/>
      <c r="GGZ1" s="434"/>
      <c r="GHA1" s="434"/>
      <c r="GHB1" s="434"/>
      <c r="GHC1" s="434"/>
      <c r="GHD1" s="434"/>
      <c r="GHE1" s="434"/>
      <c r="GHF1" s="434"/>
      <c r="GHG1" s="434"/>
      <c r="GHH1" s="434"/>
      <c r="GHI1" s="434"/>
      <c r="GHJ1" s="434"/>
      <c r="GHK1" s="434"/>
      <c r="GHL1" s="434"/>
      <c r="GHM1" s="434"/>
      <c r="GHN1" s="434"/>
      <c r="GHO1" s="434"/>
      <c r="GHP1" s="434"/>
      <c r="GHQ1" s="434"/>
      <c r="GHR1" s="434"/>
      <c r="GHS1" s="434"/>
      <c r="GHT1" s="434"/>
      <c r="GHU1" s="434"/>
      <c r="GHV1" s="434"/>
      <c r="GHW1" s="434"/>
      <c r="GHX1" s="434"/>
      <c r="GHY1" s="434"/>
      <c r="GHZ1" s="434"/>
      <c r="GIA1" s="434"/>
      <c r="GIB1" s="434"/>
      <c r="GIC1" s="434"/>
      <c r="GID1" s="434"/>
      <c r="GIE1" s="434"/>
      <c r="GIF1" s="434"/>
      <c r="GIG1" s="434"/>
      <c r="GIH1" s="434"/>
      <c r="GII1" s="434"/>
      <c r="GIJ1" s="434"/>
      <c r="GIK1" s="434"/>
      <c r="GIL1" s="434"/>
      <c r="GIM1" s="434"/>
      <c r="GIN1" s="434"/>
      <c r="GIO1" s="434"/>
      <c r="GIP1" s="434"/>
      <c r="GIQ1" s="434"/>
      <c r="GIR1" s="434"/>
      <c r="GIS1" s="434"/>
      <c r="GIT1" s="434"/>
      <c r="GIU1" s="434"/>
      <c r="GIV1" s="434"/>
      <c r="GIW1" s="434"/>
      <c r="GIX1" s="434"/>
      <c r="GIY1" s="434"/>
      <c r="GIZ1" s="434"/>
      <c r="GJA1" s="434"/>
      <c r="GJB1" s="434"/>
      <c r="GJC1" s="434"/>
      <c r="GJD1" s="434"/>
      <c r="GJE1" s="434"/>
      <c r="GJF1" s="434"/>
      <c r="GJG1" s="434"/>
      <c r="GJH1" s="434"/>
      <c r="GJI1" s="434"/>
      <c r="GJJ1" s="434"/>
      <c r="GJK1" s="434"/>
      <c r="GJL1" s="434"/>
      <c r="GJM1" s="434"/>
      <c r="GJN1" s="434"/>
      <c r="GJO1" s="434"/>
      <c r="GJP1" s="434"/>
      <c r="GJQ1" s="434"/>
      <c r="GJR1" s="434"/>
      <c r="GJS1" s="434"/>
      <c r="GJT1" s="434"/>
      <c r="GJU1" s="434"/>
      <c r="GJV1" s="434"/>
      <c r="GJW1" s="434"/>
      <c r="GJX1" s="434"/>
      <c r="GJY1" s="434"/>
      <c r="GJZ1" s="434"/>
      <c r="GKA1" s="434"/>
      <c r="GKB1" s="434"/>
      <c r="GKC1" s="434"/>
      <c r="GKD1" s="434"/>
      <c r="GKE1" s="434"/>
      <c r="GKF1" s="434"/>
      <c r="GKG1" s="434"/>
      <c r="GKH1" s="434"/>
      <c r="GKI1" s="434"/>
      <c r="GKJ1" s="434"/>
      <c r="GKK1" s="434"/>
      <c r="GKL1" s="434"/>
      <c r="GKM1" s="434"/>
      <c r="GKN1" s="434"/>
      <c r="GKO1" s="434"/>
      <c r="GKP1" s="434"/>
      <c r="GKQ1" s="434"/>
      <c r="GKR1" s="434"/>
      <c r="GKS1" s="434"/>
      <c r="GKT1" s="434"/>
      <c r="GKU1" s="434"/>
      <c r="GKV1" s="434"/>
      <c r="GKW1" s="434"/>
      <c r="GKX1" s="434"/>
      <c r="GKY1" s="434"/>
      <c r="GKZ1" s="434"/>
      <c r="GLA1" s="434"/>
      <c r="GLB1" s="434"/>
      <c r="GLC1" s="434"/>
      <c r="GLD1" s="434"/>
      <c r="GLE1" s="434"/>
      <c r="GLF1" s="434"/>
      <c r="GLG1" s="434"/>
      <c r="GLH1" s="434"/>
      <c r="GLI1" s="434"/>
      <c r="GLJ1" s="434"/>
      <c r="GLK1" s="434"/>
      <c r="GLL1" s="434"/>
      <c r="GLM1" s="434"/>
      <c r="GLN1" s="434"/>
      <c r="GLO1" s="434"/>
      <c r="GLP1" s="434"/>
      <c r="GLQ1" s="434"/>
      <c r="GLR1" s="434"/>
      <c r="GLS1" s="434"/>
      <c r="GLT1" s="434"/>
      <c r="GLU1" s="434"/>
      <c r="GLV1" s="434"/>
      <c r="GLW1" s="434"/>
      <c r="GLX1" s="434"/>
      <c r="GLY1" s="434"/>
      <c r="GLZ1" s="434"/>
      <c r="GMA1" s="434"/>
      <c r="GMB1" s="434"/>
      <c r="GMC1" s="434"/>
      <c r="GMD1" s="434"/>
      <c r="GME1" s="434"/>
      <c r="GMF1" s="434"/>
      <c r="GMG1" s="434"/>
      <c r="GMH1" s="434"/>
      <c r="GMI1" s="434"/>
      <c r="GMJ1" s="434"/>
      <c r="GMK1" s="434"/>
      <c r="GML1" s="434"/>
      <c r="GMM1" s="434"/>
      <c r="GMN1" s="434"/>
      <c r="GMO1" s="434"/>
      <c r="GMP1" s="434"/>
      <c r="GMQ1" s="434"/>
      <c r="GMR1" s="434"/>
      <c r="GMS1" s="434"/>
      <c r="GMT1" s="434"/>
      <c r="GMU1" s="434"/>
      <c r="GMV1" s="434"/>
      <c r="GMW1" s="434"/>
      <c r="GMX1" s="434"/>
      <c r="GMY1" s="434"/>
      <c r="GMZ1" s="434"/>
      <c r="GNA1" s="434"/>
      <c r="GNB1" s="434"/>
      <c r="GNC1" s="434"/>
      <c r="GND1" s="434"/>
      <c r="GNE1" s="434"/>
      <c r="GNF1" s="434"/>
      <c r="GNG1" s="434"/>
      <c r="GNH1" s="434"/>
      <c r="GNI1" s="434"/>
      <c r="GNJ1" s="434"/>
      <c r="GNK1" s="434"/>
      <c r="GNL1" s="434"/>
      <c r="GNM1" s="434"/>
      <c r="GNN1" s="434"/>
      <c r="GNO1" s="434"/>
      <c r="GNP1" s="434"/>
      <c r="GNQ1" s="434"/>
      <c r="GNR1" s="434"/>
      <c r="GNS1" s="434"/>
      <c r="GNT1" s="434"/>
      <c r="GNU1" s="434"/>
      <c r="GNV1" s="434"/>
      <c r="GNW1" s="434"/>
      <c r="GNX1" s="434"/>
      <c r="GNY1" s="434"/>
      <c r="GNZ1" s="434"/>
      <c r="GOA1" s="434"/>
      <c r="GOB1" s="434"/>
      <c r="GOC1" s="434"/>
      <c r="GOD1" s="434"/>
      <c r="GOE1" s="434"/>
      <c r="GOF1" s="434"/>
      <c r="GOG1" s="434"/>
      <c r="GOH1" s="434"/>
      <c r="GOI1" s="434"/>
      <c r="GOJ1" s="434"/>
      <c r="GOK1" s="434"/>
      <c r="GOL1" s="434"/>
      <c r="GOM1" s="434"/>
      <c r="GON1" s="434"/>
      <c r="GOO1" s="434"/>
      <c r="GOP1" s="434"/>
      <c r="GOQ1" s="434"/>
      <c r="GOR1" s="434"/>
      <c r="GOS1" s="434"/>
      <c r="GOT1" s="434"/>
      <c r="GOU1" s="434"/>
      <c r="GOV1" s="434"/>
      <c r="GOW1" s="434"/>
      <c r="GOX1" s="434"/>
      <c r="GOY1" s="434"/>
      <c r="GOZ1" s="434"/>
      <c r="GPA1" s="434"/>
      <c r="GPB1" s="434"/>
      <c r="GPC1" s="434"/>
      <c r="GPD1" s="434"/>
      <c r="GPE1" s="434"/>
      <c r="GPF1" s="434"/>
      <c r="GPG1" s="434"/>
      <c r="GPH1" s="434"/>
      <c r="GPI1" s="434"/>
      <c r="GPJ1" s="434"/>
      <c r="GPK1" s="434"/>
      <c r="GPL1" s="434"/>
      <c r="GPM1" s="434"/>
      <c r="GPN1" s="434"/>
      <c r="GPO1" s="434"/>
      <c r="GPP1" s="434"/>
      <c r="GPQ1" s="434"/>
      <c r="GPR1" s="434"/>
      <c r="GPS1" s="434"/>
      <c r="GPT1" s="434"/>
      <c r="GPU1" s="434"/>
      <c r="GPV1" s="434"/>
      <c r="GPW1" s="434"/>
      <c r="GPX1" s="434"/>
      <c r="GPY1" s="434"/>
      <c r="GPZ1" s="434"/>
      <c r="GQA1" s="434"/>
      <c r="GQB1" s="434"/>
      <c r="GQC1" s="434"/>
      <c r="GQD1" s="434"/>
      <c r="GQE1" s="434"/>
      <c r="GQF1" s="434"/>
      <c r="GQG1" s="434"/>
      <c r="GQH1" s="434"/>
      <c r="GQI1" s="434"/>
      <c r="GQJ1" s="434"/>
      <c r="GQK1" s="434"/>
      <c r="GQL1" s="434"/>
      <c r="GQM1" s="434"/>
      <c r="GQN1" s="434"/>
      <c r="GQO1" s="434"/>
      <c r="GQP1" s="434"/>
      <c r="GQQ1" s="434"/>
      <c r="GQR1" s="434"/>
      <c r="GQS1" s="434"/>
      <c r="GQT1" s="434"/>
      <c r="GQU1" s="434"/>
      <c r="GQV1" s="434"/>
      <c r="GQW1" s="434"/>
      <c r="GQX1" s="434"/>
      <c r="GQY1" s="434"/>
      <c r="GQZ1" s="434"/>
      <c r="GRA1" s="434"/>
      <c r="GRB1" s="434"/>
      <c r="GRC1" s="434"/>
      <c r="GRD1" s="434"/>
      <c r="GRE1" s="434"/>
      <c r="GRF1" s="434"/>
      <c r="GRG1" s="434"/>
      <c r="GRH1" s="434"/>
      <c r="GRI1" s="434"/>
      <c r="GRJ1" s="434"/>
      <c r="GRK1" s="434"/>
      <c r="GRL1" s="434"/>
      <c r="GRM1" s="434"/>
      <c r="GRN1" s="434"/>
      <c r="GRO1" s="434"/>
      <c r="GRP1" s="434"/>
      <c r="GRQ1" s="434"/>
      <c r="GRR1" s="434"/>
      <c r="GRS1" s="434"/>
      <c r="GRT1" s="434"/>
      <c r="GRU1" s="434"/>
      <c r="GRV1" s="434"/>
      <c r="GRW1" s="434"/>
      <c r="GRX1" s="434"/>
      <c r="GRY1" s="434"/>
      <c r="GRZ1" s="434"/>
      <c r="GSA1" s="434"/>
      <c r="GSB1" s="434"/>
      <c r="GSC1" s="434"/>
      <c r="GSD1" s="434"/>
      <c r="GSE1" s="434"/>
      <c r="GSF1" s="434"/>
      <c r="GSG1" s="434"/>
      <c r="GSH1" s="434"/>
      <c r="GSI1" s="434"/>
      <c r="GSJ1" s="434"/>
      <c r="GSK1" s="434"/>
      <c r="GSL1" s="434"/>
      <c r="GSM1" s="434"/>
      <c r="GSN1" s="434"/>
      <c r="GSO1" s="434"/>
      <c r="GSP1" s="434"/>
      <c r="GSQ1" s="434"/>
      <c r="GSR1" s="434"/>
      <c r="GSS1" s="434"/>
      <c r="GST1" s="434"/>
      <c r="GSU1" s="434"/>
      <c r="GSV1" s="434"/>
      <c r="GSW1" s="434"/>
      <c r="GSX1" s="434"/>
      <c r="GSY1" s="434"/>
      <c r="GSZ1" s="434"/>
      <c r="GTA1" s="434"/>
      <c r="GTB1" s="434"/>
      <c r="GTC1" s="434"/>
      <c r="GTD1" s="434"/>
      <c r="GTE1" s="434"/>
      <c r="GTF1" s="434"/>
      <c r="GTG1" s="434"/>
      <c r="GTH1" s="434"/>
      <c r="GTI1" s="434"/>
      <c r="GTJ1" s="434"/>
      <c r="GTK1" s="434"/>
      <c r="GTL1" s="434"/>
      <c r="GTM1" s="434"/>
      <c r="GTN1" s="434"/>
      <c r="GTO1" s="434"/>
      <c r="GTP1" s="434"/>
      <c r="GTQ1" s="434"/>
      <c r="GTR1" s="434"/>
      <c r="GTS1" s="434"/>
      <c r="GTT1" s="434"/>
      <c r="GTU1" s="434"/>
      <c r="GTV1" s="434"/>
      <c r="GTW1" s="434"/>
      <c r="GTX1" s="434"/>
      <c r="GTY1" s="434"/>
      <c r="GTZ1" s="434"/>
      <c r="GUA1" s="434"/>
      <c r="GUB1" s="434"/>
      <c r="GUC1" s="434"/>
      <c r="GUD1" s="434"/>
      <c r="GUE1" s="434"/>
      <c r="GUF1" s="434"/>
      <c r="GUG1" s="434"/>
      <c r="GUH1" s="434"/>
      <c r="GUI1" s="434"/>
      <c r="GUJ1" s="434"/>
      <c r="GUK1" s="434"/>
      <c r="GUL1" s="434"/>
      <c r="GUM1" s="434"/>
      <c r="GUN1" s="434"/>
      <c r="GUO1" s="434"/>
      <c r="GUP1" s="434"/>
      <c r="GUQ1" s="434"/>
      <c r="GUR1" s="434"/>
      <c r="GUS1" s="434"/>
      <c r="GUT1" s="434"/>
      <c r="GUU1" s="434"/>
      <c r="GUV1" s="434"/>
      <c r="GUW1" s="434"/>
      <c r="GUX1" s="434"/>
      <c r="GUY1" s="434"/>
      <c r="GUZ1" s="434"/>
      <c r="GVA1" s="434"/>
      <c r="GVB1" s="434"/>
      <c r="GVC1" s="434"/>
      <c r="GVD1" s="434"/>
      <c r="GVE1" s="434"/>
      <c r="GVF1" s="434"/>
      <c r="GVG1" s="434"/>
      <c r="GVH1" s="434"/>
      <c r="GVI1" s="434"/>
      <c r="GVJ1" s="434"/>
      <c r="GVK1" s="434"/>
      <c r="GVL1" s="434"/>
      <c r="GVM1" s="434"/>
      <c r="GVN1" s="434"/>
      <c r="GVO1" s="434"/>
      <c r="GVP1" s="434"/>
      <c r="GVQ1" s="434"/>
      <c r="GVR1" s="434"/>
      <c r="GVS1" s="434"/>
      <c r="GVT1" s="434"/>
      <c r="GVU1" s="434"/>
      <c r="GVV1" s="434"/>
      <c r="GVW1" s="434"/>
      <c r="GVX1" s="434"/>
      <c r="GVY1" s="434"/>
      <c r="GVZ1" s="434"/>
      <c r="GWA1" s="434"/>
      <c r="GWB1" s="434"/>
      <c r="GWC1" s="434"/>
      <c r="GWD1" s="434"/>
      <c r="GWE1" s="434"/>
      <c r="GWF1" s="434"/>
      <c r="GWG1" s="434"/>
      <c r="GWH1" s="434"/>
      <c r="GWI1" s="434"/>
      <c r="GWJ1" s="434"/>
      <c r="GWK1" s="434"/>
      <c r="GWL1" s="434"/>
      <c r="GWM1" s="434"/>
      <c r="GWN1" s="434"/>
      <c r="GWO1" s="434"/>
      <c r="GWP1" s="434"/>
      <c r="GWQ1" s="434"/>
      <c r="GWR1" s="434"/>
      <c r="GWS1" s="434"/>
      <c r="GWT1" s="434"/>
      <c r="GWU1" s="434"/>
      <c r="GWV1" s="434"/>
      <c r="GWW1" s="434"/>
      <c r="GWX1" s="434"/>
      <c r="GWY1" s="434"/>
      <c r="GWZ1" s="434"/>
      <c r="GXA1" s="434"/>
      <c r="GXB1" s="434"/>
      <c r="GXC1" s="434"/>
      <c r="GXD1" s="434"/>
      <c r="GXE1" s="434"/>
      <c r="GXF1" s="434"/>
      <c r="GXG1" s="434"/>
      <c r="GXH1" s="434"/>
      <c r="GXI1" s="434"/>
      <c r="GXJ1" s="434"/>
      <c r="GXK1" s="434"/>
      <c r="GXL1" s="434"/>
      <c r="GXM1" s="434"/>
      <c r="GXN1" s="434"/>
      <c r="GXO1" s="434"/>
      <c r="GXP1" s="434"/>
      <c r="GXQ1" s="434"/>
      <c r="GXR1" s="434"/>
      <c r="GXS1" s="434"/>
      <c r="GXT1" s="434"/>
      <c r="GXU1" s="434"/>
      <c r="GXV1" s="434"/>
      <c r="GXW1" s="434"/>
      <c r="GXX1" s="434"/>
      <c r="GXY1" s="434"/>
      <c r="GXZ1" s="434"/>
      <c r="GYA1" s="434"/>
      <c r="GYB1" s="434"/>
      <c r="GYC1" s="434"/>
      <c r="GYD1" s="434"/>
      <c r="GYE1" s="434"/>
      <c r="GYF1" s="434"/>
      <c r="GYG1" s="434"/>
      <c r="GYH1" s="434"/>
      <c r="GYI1" s="434"/>
      <c r="GYJ1" s="434"/>
      <c r="GYK1" s="434"/>
      <c r="GYL1" s="434"/>
      <c r="GYM1" s="434"/>
      <c r="GYN1" s="434"/>
      <c r="GYO1" s="434"/>
      <c r="GYP1" s="434"/>
      <c r="GYQ1" s="434"/>
      <c r="GYR1" s="434"/>
      <c r="GYS1" s="434"/>
      <c r="GYT1" s="434"/>
      <c r="GYU1" s="434"/>
      <c r="GYV1" s="434"/>
      <c r="GYW1" s="434"/>
      <c r="GYX1" s="434"/>
      <c r="GYY1" s="434"/>
      <c r="GYZ1" s="434"/>
      <c r="GZA1" s="434"/>
      <c r="GZB1" s="434"/>
      <c r="GZC1" s="434"/>
      <c r="GZD1" s="434"/>
      <c r="GZE1" s="434"/>
      <c r="GZF1" s="434"/>
      <c r="GZG1" s="434"/>
      <c r="GZH1" s="434"/>
      <c r="GZI1" s="434"/>
      <c r="GZJ1" s="434"/>
      <c r="GZK1" s="434"/>
      <c r="GZL1" s="434"/>
      <c r="GZM1" s="434"/>
      <c r="GZN1" s="434"/>
      <c r="GZO1" s="434"/>
      <c r="GZP1" s="434"/>
      <c r="GZQ1" s="434"/>
      <c r="GZR1" s="434"/>
      <c r="GZS1" s="434"/>
      <c r="GZT1" s="434"/>
      <c r="GZU1" s="434"/>
      <c r="GZV1" s="434"/>
      <c r="GZW1" s="434"/>
      <c r="GZX1" s="434"/>
      <c r="GZY1" s="434"/>
      <c r="GZZ1" s="434"/>
      <c r="HAA1" s="434"/>
      <c r="HAB1" s="434"/>
      <c r="HAC1" s="434"/>
      <c r="HAD1" s="434"/>
      <c r="HAE1" s="434"/>
      <c r="HAF1" s="434"/>
      <c r="HAG1" s="434"/>
      <c r="HAH1" s="434"/>
      <c r="HAI1" s="434"/>
      <c r="HAJ1" s="434"/>
      <c r="HAK1" s="434"/>
      <c r="HAL1" s="434"/>
      <c r="HAM1" s="434"/>
      <c r="HAN1" s="434"/>
      <c r="HAO1" s="434"/>
      <c r="HAP1" s="434"/>
      <c r="HAQ1" s="434"/>
      <c r="HAR1" s="434"/>
      <c r="HAS1" s="434"/>
      <c r="HAT1" s="434"/>
      <c r="HAU1" s="434"/>
      <c r="HAV1" s="434"/>
      <c r="HAW1" s="434"/>
      <c r="HAX1" s="434"/>
      <c r="HAY1" s="434"/>
      <c r="HAZ1" s="434"/>
      <c r="HBA1" s="434"/>
      <c r="HBB1" s="434"/>
      <c r="HBC1" s="434"/>
      <c r="HBD1" s="434"/>
      <c r="HBE1" s="434"/>
      <c r="HBF1" s="434"/>
      <c r="HBG1" s="434"/>
      <c r="HBH1" s="434"/>
      <c r="HBI1" s="434"/>
      <c r="HBJ1" s="434"/>
      <c r="HBK1" s="434"/>
      <c r="HBL1" s="434"/>
      <c r="HBM1" s="434"/>
      <c r="HBN1" s="434"/>
      <c r="HBO1" s="434"/>
      <c r="HBP1" s="434"/>
      <c r="HBQ1" s="434"/>
      <c r="HBR1" s="434"/>
      <c r="HBS1" s="434"/>
      <c r="HBT1" s="434"/>
      <c r="HBU1" s="434"/>
      <c r="HBV1" s="434"/>
      <c r="HBW1" s="434"/>
      <c r="HBX1" s="434"/>
      <c r="HBY1" s="434"/>
      <c r="HBZ1" s="434"/>
      <c r="HCA1" s="434"/>
      <c r="HCB1" s="434"/>
      <c r="HCC1" s="434"/>
      <c r="HCD1" s="434"/>
      <c r="HCE1" s="434"/>
      <c r="HCF1" s="434"/>
      <c r="HCG1" s="434"/>
      <c r="HCH1" s="434"/>
      <c r="HCI1" s="434"/>
      <c r="HCJ1" s="434"/>
      <c r="HCK1" s="434"/>
      <c r="HCL1" s="434"/>
      <c r="HCM1" s="434"/>
      <c r="HCN1" s="434"/>
      <c r="HCO1" s="434"/>
      <c r="HCP1" s="434"/>
      <c r="HCQ1" s="434"/>
      <c r="HCR1" s="434"/>
      <c r="HCS1" s="434"/>
      <c r="HCT1" s="434"/>
      <c r="HCU1" s="434"/>
      <c r="HCV1" s="434"/>
      <c r="HCW1" s="434"/>
      <c r="HCX1" s="434"/>
      <c r="HCY1" s="434"/>
      <c r="HCZ1" s="434"/>
      <c r="HDA1" s="434"/>
      <c r="HDB1" s="434"/>
      <c r="HDC1" s="434"/>
      <c r="HDD1" s="434"/>
      <c r="HDE1" s="434"/>
      <c r="HDF1" s="434"/>
      <c r="HDG1" s="434"/>
      <c r="HDH1" s="434"/>
      <c r="HDI1" s="434"/>
      <c r="HDJ1" s="434"/>
      <c r="HDK1" s="434"/>
      <c r="HDL1" s="434"/>
      <c r="HDM1" s="434"/>
      <c r="HDN1" s="434"/>
      <c r="HDO1" s="434"/>
      <c r="HDP1" s="434"/>
      <c r="HDQ1" s="434"/>
      <c r="HDR1" s="434"/>
      <c r="HDS1" s="434"/>
      <c r="HDT1" s="434"/>
      <c r="HDU1" s="434"/>
      <c r="HDV1" s="434"/>
      <c r="HDW1" s="434"/>
      <c r="HDX1" s="434"/>
      <c r="HDY1" s="434"/>
      <c r="HDZ1" s="434"/>
      <c r="HEA1" s="434"/>
      <c r="HEB1" s="434"/>
      <c r="HEC1" s="434"/>
      <c r="HED1" s="434"/>
      <c r="HEE1" s="434"/>
      <c r="HEF1" s="434"/>
      <c r="HEG1" s="434"/>
      <c r="HEH1" s="434"/>
      <c r="HEI1" s="434"/>
      <c r="HEJ1" s="434"/>
      <c r="HEK1" s="434"/>
      <c r="HEL1" s="434"/>
      <c r="HEM1" s="434"/>
      <c r="HEN1" s="434"/>
      <c r="HEO1" s="434"/>
      <c r="HEP1" s="434"/>
      <c r="HEQ1" s="434"/>
      <c r="HER1" s="434"/>
      <c r="HES1" s="434"/>
      <c r="HET1" s="434"/>
      <c r="HEU1" s="434"/>
      <c r="HEV1" s="434"/>
      <c r="HEW1" s="434"/>
      <c r="HEX1" s="434"/>
      <c r="HEY1" s="434"/>
      <c r="HEZ1" s="434"/>
      <c r="HFA1" s="434"/>
      <c r="HFB1" s="434"/>
      <c r="HFC1" s="434"/>
      <c r="HFD1" s="434"/>
      <c r="HFE1" s="434"/>
      <c r="HFF1" s="434"/>
      <c r="HFG1" s="434"/>
      <c r="HFH1" s="434"/>
      <c r="HFI1" s="434"/>
      <c r="HFJ1" s="434"/>
      <c r="HFK1" s="434"/>
      <c r="HFL1" s="434"/>
      <c r="HFM1" s="434"/>
      <c r="HFN1" s="434"/>
      <c r="HFO1" s="434"/>
      <c r="HFP1" s="434"/>
      <c r="HFQ1" s="434"/>
      <c r="HFR1" s="434"/>
      <c r="HFS1" s="434"/>
      <c r="HFT1" s="434"/>
      <c r="HFU1" s="434"/>
      <c r="HFV1" s="434"/>
      <c r="HFW1" s="434"/>
      <c r="HFX1" s="434"/>
      <c r="HFY1" s="434"/>
      <c r="HFZ1" s="434"/>
      <c r="HGA1" s="434"/>
      <c r="HGB1" s="434"/>
      <c r="HGC1" s="434"/>
      <c r="HGD1" s="434"/>
      <c r="HGE1" s="434"/>
      <c r="HGF1" s="434"/>
      <c r="HGG1" s="434"/>
      <c r="HGH1" s="434"/>
      <c r="HGI1" s="434"/>
      <c r="HGJ1" s="434"/>
      <c r="HGK1" s="434"/>
      <c r="HGL1" s="434"/>
      <c r="HGM1" s="434"/>
      <c r="HGN1" s="434"/>
      <c r="HGO1" s="434"/>
      <c r="HGP1" s="434"/>
      <c r="HGQ1" s="434"/>
      <c r="HGR1" s="434"/>
      <c r="HGS1" s="434"/>
      <c r="HGT1" s="434"/>
      <c r="HGU1" s="434"/>
      <c r="HGV1" s="434"/>
      <c r="HGW1" s="434"/>
      <c r="HGX1" s="434"/>
      <c r="HGY1" s="434"/>
      <c r="HGZ1" s="434"/>
      <c r="HHA1" s="434"/>
      <c r="HHB1" s="434"/>
      <c r="HHC1" s="434"/>
      <c r="HHD1" s="434"/>
      <c r="HHE1" s="434"/>
      <c r="HHF1" s="434"/>
      <c r="HHG1" s="434"/>
      <c r="HHH1" s="434"/>
      <c r="HHI1" s="434"/>
      <c r="HHJ1" s="434"/>
      <c r="HHK1" s="434"/>
      <c r="HHL1" s="434"/>
      <c r="HHM1" s="434"/>
      <c r="HHN1" s="434"/>
      <c r="HHO1" s="434"/>
      <c r="HHP1" s="434"/>
      <c r="HHQ1" s="434"/>
      <c r="HHR1" s="434"/>
      <c r="HHS1" s="434"/>
      <c r="HHT1" s="434"/>
      <c r="HHU1" s="434"/>
      <c r="HHV1" s="434"/>
      <c r="HHW1" s="434"/>
      <c r="HHX1" s="434"/>
      <c r="HHY1" s="434"/>
      <c r="HHZ1" s="434"/>
      <c r="HIA1" s="434"/>
      <c r="HIB1" s="434"/>
      <c r="HIC1" s="434"/>
      <c r="HID1" s="434"/>
      <c r="HIE1" s="434"/>
      <c r="HIF1" s="434"/>
      <c r="HIG1" s="434"/>
      <c r="HIH1" s="434"/>
      <c r="HII1" s="434"/>
      <c r="HIJ1" s="434"/>
      <c r="HIK1" s="434"/>
      <c r="HIL1" s="434"/>
      <c r="HIM1" s="434"/>
      <c r="HIN1" s="434"/>
      <c r="HIO1" s="434"/>
      <c r="HIP1" s="434"/>
      <c r="HIQ1" s="434"/>
      <c r="HIR1" s="434"/>
      <c r="HIS1" s="434"/>
      <c r="HIT1" s="434"/>
      <c r="HIU1" s="434"/>
      <c r="HIV1" s="434"/>
      <c r="HIW1" s="434"/>
      <c r="HIX1" s="434"/>
      <c r="HIY1" s="434"/>
      <c r="HIZ1" s="434"/>
      <c r="HJA1" s="434"/>
      <c r="HJB1" s="434"/>
      <c r="HJC1" s="434"/>
      <c r="HJD1" s="434"/>
      <c r="HJE1" s="434"/>
      <c r="HJF1" s="434"/>
      <c r="HJG1" s="434"/>
      <c r="HJH1" s="434"/>
      <c r="HJI1" s="434"/>
      <c r="HJJ1" s="434"/>
      <c r="HJK1" s="434"/>
      <c r="HJL1" s="434"/>
      <c r="HJM1" s="434"/>
      <c r="HJN1" s="434"/>
      <c r="HJO1" s="434"/>
      <c r="HJP1" s="434"/>
      <c r="HJQ1" s="434"/>
      <c r="HJR1" s="434"/>
      <c r="HJS1" s="434"/>
      <c r="HJT1" s="434"/>
      <c r="HJU1" s="434"/>
      <c r="HJV1" s="434"/>
      <c r="HJW1" s="434"/>
      <c r="HJX1" s="434"/>
      <c r="HJY1" s="434"/>
      <c r="HJZ1" s="434"/>
      <c r="HKA1" s="434"/>
      <c r="HKB1" s="434"/>
      <c r="HKC1" s="434"/>
      <c r="HKD1" s="434"/>
      <c r="HKE1" s="434"/>
      <c r="HKF1" s="434"/>
      <c r="HKG1" s="434"/>
      <c r="HKH1" s="434"/>
      <c r="HKI1" s="434"/>
      <c r="HKJ1" s="434"/>
      <c r="HKK1" s="434"/>
      <c r="HKL1" s="434"/>
      <c r="HKM1" s="434"/>
      <c r="HKN1" s="434"/>
      <c r="HKO1" s="434"/>
      <c r="HKP1" s="434"/>
      <c r="HKQ1" s="434"/>
      <c r="HKR1" s="434"/>
      <c r="HKS1" s="434"/>
      <c r="HKT1" s="434"/>
      <c r="HKU1" s="434"/>
      <c r="HKV1" s="434"/>
      <c r="HKW1" s="434"/>
      <c r="HKX1" s="434"/>
      <c r="HKY1" s="434"/>
      <c r="HKZ1" s="434"/>
      <c r="HLA1" s="434"/>
      <c r="HLB1" s="434"/>
      <c r="HLC1" s="434"/>
      <c r="HLD1" s="434"/>
      <c r="HLE1" s="434"/>
      <c r="HLF1" s="434"/>
      <c r="HLG1" s="434"/>
      <c r="HLH1" s="434"/>
      <c r="HLI1" s="434"/>
      <c r="HLJ1" s="434"/>
      <c r="HLK1" s="434"/>
      <c r="HLL1" s="434"/>
      <c r="HLM1" s="434"/>
      <c r="HLN1" s="434"/>
      <c r="HLO1" s="434"/>
      <c r="HLP1" s="434"/>
      <c r="HLQ1" s="434"/>
      <c r="HLR1" s="434"/>
      <c r="HLS1" s="434"/>
      <c r="HLT1" s="434"/>
      <c r="HLU1" s="434"/>
      <c r="HLV1" s="434"/>
      <c r="HLW1" s="434"/>
      <c r="HLX1" s="434"/>
      <c r="HLY1" s="434"/>
      <c r="HLZ1" s="434"/>
      <c r="HMA1" s="434"/>
      <c r="HMB1" s="434"/>
      <c r="HMC1" s="434"/>
      <c r="HMD1" s="434"/>
      <c r="HME1" s="434"/>
      <c r="HMF1" s="434"/>
      <c r="HMG1" s="434"/>
      <c r="HMH1" s="434"/>
      <c r="HMI1" s="434"/>
      <c r="HMJ1" s="434"/>
      <c r="HMK1" s="434"/>
      <c r="HML1" s="434"/>
      <c r="HMM1" s="434"/>
      <c r="HMN1" s="434"/>
      <c r="HMO1" s="434"/>
      <c r="HMP1" s="434"/>
      <c r="HMQ1" s="434"/>
      <c r="HMR1" s="434"/>
      <c r="HMS1" s="434"/>
      <c r="HMT1" s="434"/>
      <c r="HMU1" s="434"/>
      <c r="HMV1" s="434"/>
      <c r="HMW1" s="434"/>
      <c r="HMX1" s="434"/>
      <c r="HMY1" s="434"/>
      <c r="HMZ1" s="434"/>
      <c r="HNA1" s="434"/>
      <c r="HNB1" s="434"/>
      <c r="HNC1" s="434"/>
      <c r="HND1" s="434"/>
      <c r="HNE1" s="434"/>
      <c r="HNF1" s="434"/>
      <c r="HNG1" s="434"/>
      <c r="HNH1" s="434"/>
      <c r="HNI1" s="434"/>
      <c r="HNJ1" s="434"/>
      <c r="HNK1" s="434"/>
      <c r="HNL1" s="434"/>
      <c r="HNM1" s="434"/>
      <c r="HNN1" s="434"/>
      <c r="HNO1" s="434"/>
      <c r="HNP1" s="434"/>
      <c r="HNQ1" s="434"/>
      <c r="HNR1" s="434"/>
      <c r="HNS1" s="434"/>
      <c r="HNT1" s="434"/>
      <c r="HNU1" s="434"/>
      <c r="HNV1" s="434"/>
      <c r="HNW1" s="434"/>
      <c r="HNX1" s="434"/>
      <c r="HNY1" s="434"/>
      <c r="HNZ1" s="434"/>
      <c r="HOA1" s="434"/>
      <c r="HOB1" s="434"/>
      <c r="HOC1" s="434"/>
      <c r="HOD1" s="434"/>
      <c r="HOE1" s="434"/>
      <c r="HOF1" s="434"/>
      <c r="HOG1" s="434"/>
      <c r="HOH1" s="434"/>
      <c r="HOI1" s="434"/>
      <c r="HOJ1" s="434"/>
      <c r="HOK1" s="434"/>
      <c r="HOL1" s="434"/>
      <c r="HOM1" s="434"/>
      <c r="HON1" s="434"/>
      <c r="HOO1" s="434"/>
      <c r="HOP1" s="434"/>
      <c r="HOQ1" s="434"/>
      <c r="HOR1" s="434"/>
      <c r="HOS1" s="434"/>
      <c r="HOT1" s="434"/>
      <c r="HOU1" s="434"/>
      <c r="HOV1" s="434"/>
      <c r="HOW1" s="434"/>
      <c r="HOX1" s="434"/>
      <c r="HOY1" s="434"/>
      <c r="HOZ1" s="434"/>
      <c r="HPA1" s="434"/>
      <c r="HPB1" s="434"/>
      <c r="HPC1" s="434"/>
      <c r="HPD1" s="434"/>
      <c r="HPE1" s="434"/>
      <c r="HPF1" s="434"/>
      <c r="HPG1" s="434"/>
      <c r="HPH1" s="434"/>
      <c r="HPI1" s="434"/>
      <c r="HPJ1" s="434"/>
      <c r="HPK1" s="434"/>
      <c r="HPL1" s="434"/>
      <c r="HPM1" s="434"/>
      <c r="HPN1" s="434"/>
      <c r="HPO1" s="434"/>
      <c r="HPP1" s="434"/>
      <c r="HPQ1" s="434"/>
      <c r="HPR1" s="434"/>
      <c r="HPS1" s="434"/>
      <c r="HPT1" s="434"/>
      <c r="HPU1" s="434"/>
      <c r="HPV1" s="434"/>
      <c r="HPW1" s="434"/>
      <c r="HPX1" s="434"/>
      <c r="HPY1" s="434"/>
      <c r="HPZ1" s="434"/>
      <c r="HQA1" s="434"/>
      <c r="HQB1" s="434"/>
      <c r="HQC1" s="434"/>
      <c r="HQD1" s="434"/>
      <c r="HQE1" s="434"/>
      <c r="HQF1" s="434"/>
      <c r="HQG1" s="434"/>
      <c r="HQH1" s="434"/>
      <c r="HQI1" s="434"/>
      <c r="HQJ1" s="434"/>
      <c r="HQK1" s="434"/>
      <c r="HQL1" s="434"/>
      <c r="HQM1" s="434"/>
      <c r="HQN1" s="434"/>
      <c r="HQO1" s="434"/>
      <c r="HQP1" s="434"/>
      <c r="HQQ1" s="434"/>
      <c r="HQR1" s="434"/>
      <c r="HQS1" s="434"/>
      <c r="HQT1" s="434"/>
      <c r="HQU1" s="434"/>
      <c r="HQV1" s="434"/>
      <c r="HQW1" s="434"/>
      <c r="HQX1" s="434"/>
      <c r="HQY1" s="434"/>
      <c r="HQZ1" s="434"/>
      <c r="HRA1" s="434"/>
      <c r="HRB1" s="434"/>
      <c r="HRC1" s="434"/>
      <c r="HRD1" s="434"/>
      <c r="HRE1" s="434"/>
      <c r="HRF1" s="434"/>
      <c r="HRG1" s="434"/>
      <c r="HRH1" s="434"/>
      <c r="HRI1" s="434"/>
      <c r="HRJ1" s="434"/>
      <c r="HRK1" s="434"/>
      <c r="HRL1" s="434"/>
      <c r="HRM1" s="434"/>
      <c r="HRN1" s="434"/>
      <c r="HRO1" s="434"/>
      <c r="HRP1" s="434"/>
      <c r="HRQ1" s="434"/>
      <c r="HRR1" s="434"/>
      <c r="HRS1" s="434"/>
      <c r="HRT1" s="434"/>
      <c r="HRU1" s="434"/>
      <c r="HRV1" s="434"/>
      <c r="HRW1" s="434"/>
      <c r="HRX1" s="434"/>
      <c r="HRY1" s="434"/>
      <c r="HRZ1" s="434"/>
      <c r="HSA1" s="434"/>
      <c r="HSB1" s="434"/>
      <c r="HSC1" s="434"/>
      <c r="HSD1" s="434"/>
      <c r="HSE1" s="434"/>
      <c r="HSF1" s="434"/>
      <c r="HSG1" s="434"/>
      <c r="HSH1" s="434"/>
      <c r="HSI1" s="434"/>
      <c r="HSJ1" s="434"/>
      <c r="HSK1" s="434"/>
      <c r="HSL1" s="434"/>
      <c r="HSM1" s="434"/>
      <c r="HSN1" s="434"/>
      <c r="HSO1" s="434"/>
      <c r="HSP1" s="434"/>
      <c r="HSQ1" s="434"/>
      <c r="HSR1" s="434"/>
      <c r="HSS1" s="434"/>
      <c r="HST1" s="434"/>
      <c r="HSU1" s="434"/>
      <c r="HSV1" s="434"/>
      <c r="HSW1" s="434"/>
      <c r="HSX1" s="434"/>
      <c r="HSY1" s="434"/>
      <c r="HSZ1" s="434"/>
      <c r="HTA1" s="434"/>
      <c r="HTB1" s="434"/>
      <c r="HTC1" s="434"/>
      <c r="HTD1" s="434"/>
      <c r="HTE1" s="434"/>
      <c r="HTF1" s="434"/>
      <c r="HTG1" s="434"/>
      <c r="HTH1" s="434"/>
      <c r="HTI1" s="434"/>
      <c r="HTJ1" s="434"/>
      <c r="HTK1" s="434"/>
      <c r="HTL1" s="434"/>
      <c r="HTM1" s="434"/>
      <c r="HTN1" s="434"/>
      <c r="HTO1" s="434"/>
      <c r="HTP1" s="434"/>
      <c r="HTQ1" s="434"/>
      <c r="HTR1" s="434"/>
      <c r="HTS1" s="434"/>
      <c r="HTT1" s="434"/>
      <c r="HTU1" s="434"/>
      <c r="HTV1" s="434"/>
      <c r="HTW1" s="434"/>
      <c r="HTX1" s="434"/>
      <c r="HTY1" s="434"/>
      <c r="HTZ1" s="434"/>
      <c r="HUA1" s="434"/>
      <c r="HUB1" s="434"/>
      <c r="HUC1" s="434"/>
      <c r="HUD1" s="434"/>
      <c r="HUE1" s="434"/>
      <c r="HUF1" s="434"/>
      <c r="HUG1" s="434"/>
      <c r="HUH1" s="434"/>
      <c r="HUI1" s="434"/>
      <c r="HUJ1" s="434"/>
      <c r="HUK1" s="434"/>
      <c r="HUL1" s="434"/>
      <c r="HUM1" s="434"/>
      <c r="HUN1" s="434"/>
      <c r="HUO1" s="434"/>
      <c r="HUP1" s="434"/>
      <c r="HUQ1" s="434"/>
      <c r="HUR1" s="434"/>
      <c r="HUS1" s="434"/>
      <c r="HUT1" s="434"/>
      <c r="HUU1" s="434"/>
      <c r="HUV1" s="434"/>
      <c r="HUW1" s="434"/>
      <c r="HUX1" s="434"/>
      <c r="HUY1" s="434"/>
      <c r="HUZ1" s="434"/>
      <c r="HVA1" s="434"/>
      <c r="HVB1" s="434"/>
      <c r="HVC1" s="434"/>
      <c r="HVD1" s="434"/>
      <c r="HVE1" s="434"/>
      <c r="HVF1" s="434"/>
      <c r="HVG1" s="434"/>
      <c r="HVH1" s="434"/>
      <c r="HVI1" s="434"/>
      <c r="HVJ1" s="434"/>
      <c r="HVK1" s="434"/>
      <c r="HVL1" s="434"/>
      <c r="HVM1" s="434"/>
      <c r="HVN1" s="434"/>
      <c r="HVO1" s="434"/>
      <c r="HVP1" s="434"/>
      <c r="HVQ1" s="434"/>
      <c r="HVR1" s="434"/>
      <c r="HVS1" s="434"/>
      <c r="HVT1" s="434"/>
      <c r="HVU1" s="434"/>
      <c r="HVV1" s="434"/>
      <c r="HVW1" s="434"/>
      <c r="HVX1" s="434"/>
      <c r="HVY1" s="434"/>
      <c r="HVZ1" s="434"/>
      <c r="HWA1" s="434"/>
      <c r="HWB1" s="434"/>
      <c r="HWC1" s="434"/>
      <c r="HWD1" s="434"/>
      <c r="HWE1" s="434"/>
      <c r="HWF1" s="434"/>
      <c r="HWG1" s="434"/>
      <c r="HWH1" s="434"/>
      <c r="HWI1" s="434"/>
      <c r="HWJ1" s="434"/>
      <c r="HWK1" s="434"/>
      <c r="HWL1" s="434"/>
      <c r="HWM1" s="434"/>
      <c r="HWN1" s="434"/>
      <c r="HWO1" s="434"/>
      <c r="HWP1" s="434"/>
      <c r="HWQ1" s="434"/>
      <c r="HWR1" s="434"/>
      <c r="HWS1" s="434"/>
      <c r="HWT1" s="434"/>
      <c r="HWU1" s="434"/>
      <c r="HWV1" s="434"/>
      <c r="HWW1" s="434"/>
      <c r="HWX1" s="434"/>
      <c r="HWY1" s="434"/>
      <c r="HWZ1" s="434"/>
      <c r="HXA1" s="434"/>
      <c r="HXB1" s="434"/>
      <c r="HXC1" s="434"/>
      <c r="HXD1" s="434"/>
      <c r="HXE1" s="434"/>
      <c r="HXF1" s="434"/>
      <c r="HXG1" s="434"/>
      <c r="HXH1" s="434"/>
      <c r="HXI1" s="434"/>
      <c r="HXJ1" s="434"/>
      <c r="HXK1" s="434"/>
      <c r="HXL1" s="434"/>
      <c r="HXM1" s="434"/>
      <c r="HXN1" s="434"/>
      <c r="HXO1" s="434"/>
      <c r="HXP1" s="434"/>
      <c r="HXQ1" s="434"/>
      <c r="HXR1" s="434"/>
      <c r="HXS1" s="434"/>
      <c r="HXT1" s="434"/>
      <c r="HXU1" s="434"/>
      <c r="HXV1" s="434"/>
      <c r="HXW1" s="434"/>
      <c r="HXX1" s="434"/>
      <c r="HXY1" s="434"/>
      <c r="HXZ1" s="434"/>
      <c r="HYA1" s="434"/>
      <c r="HYB1" s="434"/>
      <c r="HYC1" s="434"/>
      <c r="HYD1" s="434"/>
      <c r="HYE1" s="434"/>
      <c r="HYF1" s="434"/>
      <c r="HYG1" s="434"/>
      <c r="HYH1" s="434"/>
      <c r="HYI1" s="434"/>
      <c r="HYJ1" s="434"/>
      <c r="HYK1" s="434"/>
      <c r="HYL1" s="434"/>
      <c r="HYM1" s="434"/>
      <c r="HYN1" s="434"/>
      <c r="HYO1" s="434"/>
      <c r="HYP1" s="434"/>
      <c r="HYQ1" s="434"/>
      <c r="HYR1" s="434"/>
      <c r="HYS1" s="434"/>
      <c r="HYT1" s="434"/>
      <c r="HYU1" s="434"/>
      <c r="HYV1" s="434"/>
      <c r="HYW1" s="434"/>
      <c r="HYX1" s="434"/>
      <c r="HYY1" s="434"/>
      <c r="HYZ1" s="434"/>
      <c r="HZA1" s="434"/>
      <c r="HZB1" s="434"/>
      <c r="HZC1" s="434"/>
      <c r="HZD1" s="434"/>
      <c r="HZE1" s="434"/>
      <c r="HZF1" s="434"/>
      <c r="HZG1" s="434"/>
      <c r="HZH1" s="434"/>
      <c r="HZI1" s="434"/>
      <c r="HZJ1" s="434"/>
      <c r="HZK1" s="434"/>
      <c r="HZL1" s="434"/>
      <c r="HZM1" s="434"/>
      <c r="HZN1" s="434"/>
      <c r="HZO1" s="434"/>
      <c r="HZP1" s="434"/>
      <c r="HZQ1" s="434"/>
      <c r="HZR1" s="434"/>
      <c r="HZS1" s="434"/>
      <c r="HZT1" s="434"/>
      <c r="HZU1" s="434"/>
      <c r="HZV1" s="434"/>
      <c r="HZW1" s="434"/>
      <c r="HZX1" s="434"/>
      <c r="HZY1" s="434"/>
      <c r="HZZ1" s="434"/>
      <c r="IAA1" s="434"/>
      <c r="IAB1" s="434"/>
      <c r="IAC1" s="434"/>
      <c r="IAD1" s="434"/>
      <c r="IAE1" s="434"/>
      <c r="IAF1" s="434"/>
      <c r="IAG1" s="434"/>
      <c r="IAH1" s="434"/>
      <c r="IAI1" s="434"/>
      <c r="IAJ1" s="434"/>
      <c r="IAK1" s="434"/>
      <c r="IAL1" s="434"/>
      <c r="IAM1" s="434"/>
      <c r="IAN1" s="434"/>
      <c r="IAO1" s="434"/>
      <c r="IAP1" s="434"/>
      <c r="IAQ1" s="434"/>
      <c r="IAR1" s="434"/>
      <c r="IAS1" s="434"/>
      <c r="IAT1" s="434"/>
      <c r="IAU1" s="434"/>
      <c r="IAV1" s="434"/>
      <c r="IAW1" s="434"/>
      <c r="IAX1" s="434"/>
      <c r="IAY1" s="434"/>
      <c r="IAZ1" s="434"/>
      <c r="IBA1" s="434"/>
      <c r="IBB1" s="434"/>
      <c r="IBC1" s="434"/>
      <c r="IBD1" s="434"/>
      <c r="IBE1" s="434"/>
      <c r="IBF1" s="434"/>
      <c r="IBG1" s="434"/>
      <c r="IBH1" s="434"/>
      <c r="IBI1" s="434"/>
      <c r="IBJ1" s="434"/>
      <c r="IBK1" s="434"/>
      <c r="IBL1" s="434"/>
      <c r="IBM1" s="434"/>
      <c r="IBN1" s="434"/>
      <c r="IBO1" s="434"/>
      <c r="IBP1" s="434"/>
      <c r="IBQ1" s="434"/>
      <c r="IBR1" s="434"/>
      <c r="IBS1" s="434"/>
      <c r="IBT1" s="434"/>
      <c r="IBU1" s="434"/>
      <c r="IBV1" s="434"/>
      <c r="IBW1" s="434"/>
      <c r="IBX1" s="434"/>
      <c r="IBY1" s="434"/>
      <c r="IBZ1" s="434"/>
      <c r="ICA1" s="434"/>
      <c r="ICB1" s="434"/>
      <c r="ICC1" s="434"/>
      <c r="ICD1" s="434"/>
      <c r="ICE1" s="434"/>
      <c r="ICF1" s="434"/>
      <c r="ICG1" s="434"/>
      <c r="ICH1" s="434"/>
      <c r="ICI1" s="434"/>
      <c r="ICJ1" s="434"/>
      <c r="ICK1" s="434"/>
      <c r="ICL1" s="434"/>
      <c r="ICM1" s="434"/>
      <c r="ICN1" s="434"/>
      <c r="ICO1" s="434"/>
      <c r="ICP1" s="434"/>
      <c r="ICQ1" s="434"/>
      <c r="ICR1" s="434"/>
      <c r="ICS1" s="434"/>
      <c r="ICT1" s="434"/>
      <c r="ICU1" s="434"/>
      <c r="ICV1" s="434"/>
      <c r="ICW1" s="434"/>
      <c r="ICX1" s="434"/>
      <c r="ICY1" s="434"/>
      <c r="ICZ1" s="434"/>
      <c r="IDA1" s="434"/>
      <c r="IDB1" s="434"/>
      <c r="IDC1" s="434"/>
      <c r="IDD1" s="434"/>
      <c r="IDE1" s="434"/>
      <c r="IDF1" s="434"/>
      <c r="IDG1" s="434"/>
      <c r="IDH1" s="434"/>
      <c r="IDI1" s="434"/>
      <c r="IDJ1" s="434"/>
      <c r="IDK1" s="434"/>
      <c r="IDL1" s="434"/>
      <c r="IDM1" s="434"/>
      <c r="IDN1" s="434"/>
      <c r="IDO1" s="434"/>
      <c r="IDP1" s="434"/>
      <c r="IDQ1" s="434"/>
      <c r="IDR1" s="434"/>
      <c r="IDS1" s="434"/>
      <c r="IDT1" s="434"/>
      <c r="IDU1" s="434"/>
      <c r="IDV1" s="434"/>
      <c r="IDW1" s="434"/>
      <c r="IDX1" s="434"/>
      <c r="IDY1" s="434"/>
      <c r="IDZ1" s="434"/>
      <c r="IEA1" s="434"/>
      <c r="IEB1" s="434"/>
      <c r="IEC1" s="434"/>
      <c r="IED1" s="434"/>
      <c r="IEE1" s="434"/>
      <c r="IEF1" s="434"/>
      <c r="IEG1" s="434"/>
      <c r="IEH1" s="434"/>
      <c r="IEI1" s="434"/>
      <c r="IEJ1" s="434"/>
      <c r="IEK1" s="434"/>
      <c r="IEL1" s="434"/>
      <c r="IEM1" s="434"/>
      <c r="IEN1" s="434"/>
      <c r="IEO1" s="434"/>
      <c r="IEP1" s="434"/>
      <c r="IEQ1" s="434"/>
      <c r="IER1" s="434"/>
      <c r="IES1" s="434"/>
      <c r="IET1" s="434"/>
      <c r="IEU1" s="434"/>
      <c r="IEV1" s="434"/>
      <c r="IEW1" s="434"/>
      <c r="IEX1" s="434"/>
      <c r="IEY1" s="434"/>
      <c r="IEZ1" s="434"/>
      <c r="IFA1" s="434"/>
      <c r="IFB1" s="434"/>
      <c r="IFC1" s="434"/>
      <c r="IFD1" s="434"/>
      <c r="IFE1" s="434"/>
      <c r="IFF1" s="434"/>
      <c r="IFG1" s="434"/>
      <c r="IFH1" s="434"/>
      <c r="IFI1" s="434"/>
      <c r="IFJ1" s="434"/>
      <c r="IFK1" s="434"/>
      <c r="IFL1" s="434"/>
      <c r="IFM1" s="434"/>
      <c r="IFN1" s="434"/>
      <c r="IFO1" s="434"/>
      <c r="IFP1" s="434"/>
      <c r="IFQ1" s="434"/>
      <c r="IFR1" s="434"/>
      <c r="IFS1" s="434"/>
      <c r="IFT1" s="434"/>
      <c r="IFU1" s="434"/>
      <c r="IFV1" s="434"/>
      <c r="IFW1" s="434"/>
      <c r="IFX1" s="434"/>
      <c r="IFY1" s="434"/>
      <c r="IFZ1" s="434"/>
      <c r="IGA1" s="434"/>
      <c r="IGB1" s="434"/>
      <c r="IGC1" s="434"/>
      <c r="IGD1" s="434"/>
      <c r="IGE1" s="434"/>
      <c r="IGF1" s="434"/>
      <c r="IGG1" s="434"/>
      <c r="IGH1" s="434"/>
      <c r="IGI1" s="434"/>
      <c r="IGJ1" s="434"/>
      <c r="IGK1" s="434"/>
      <c r="IGL1" s="434"/>
      <c r="IGM1" s="434"/>
      <c r="IGN1" s="434"/>
      <c r="IGO1" s="434"/>
      <c r="IGP1" s="434"/>
      <c r="IGQ1" s="434"/>
      <c r="IGR1" s="434"/>
      <c r="IGS1" s="434"/>
      <c r="IGT1" s="434"/>
      <c r="IGU1" s="434"/>
      <c r="IGV1" s="434"/>
      <c r="IGW1" s="434"/>
      <c r="IGX1" s="434"/>
      <c r="IGY1" s="434"/>
      <c r="IGZ1" s="434"/>
      <c r="IHA1" s="434"/>
      <c r="IHB1" s="434"/>
      <c r="IHC1" s="434"/>
      <c r="IHD1" s="434"/>
      <c r="IHE1" s="434"/>
      <c r="IHF1" s="434"/>
      <c r="IHG1" s="434"/>
      <c r="IHH1" s="434"/>
      <c r="IHI1" s="434"/>
      <c r="IHJ1" s="434"/>
      <c r="IHK1" s="434"/>
      <c r="IHL1" s="434"/>
      <c r="IHM1" s="434"/>
      <c r="IHN1" s="434"/>
      <c r="IHO1" s="434"/>
      <c r="IHP1" s="434"/>
      <c r="IHQ1" s="434"/>
      <c r="IHR1" s="434"/>
      <c r="IHS1" s="434"/>
      <c r="IHT1" s="434"/>
      <c r="IHU1" s="434"/>
      <c r="IHV1" s="434"/>
      <c r="IHW1" s="434"/>
      <c r="IHX1" s="434"/>
      <c r="IHY1" s="434"/>
      <c r="IHZ1" s="434"/>
      <c r="IIA1" s="434"/>
      <c r="IIB1" s="434"/>
      <c r="IIC1" s="434"/>
      <c r="IID1" s="434"/>
      <c r="IIE1" s="434"/>
      <c r="IIF1" s="434"/>
      <c r="IIG1" s="434"/>
      <c r="IIH1" s="434"/>
      <c r="III1" s="434"/>
      <c r="IIJ1" s="434"/>
      <c r="IIK1" s="434"/>
      <c r="IIL1" s="434"/>
      <c r="IIM1" s="434"/>
      <c r="IIN1" s="434"/>
      <c r="IIO1" s="434"/>
      <c r="IIP1" s="434"/>
      <c r="IIQ1" s="434"/>
      <c r="IIR1" s="434"/>
      <c r="IIS1" s="434"/>
      <c r="IIT1" s="434"/>
      <c r="IIU1" s="434"/>
      <c r="IIV1" s="434"/>
      <c r="IIW1" s="434"/>
      <c r="IIX1" s="434"/>
      <c r="IIY1" s="434"/>
      <c r="IIZ1" s="434"/>
      <c r="IJA1" s="434"/>
      <c r="IJB1" s="434"/>
      <c r="IJC1" s="434"/>
      <c r="IJD1" s="434"/>
      <c r="IJE1" s="434"/>
      <c r="IJF1" s="434"/>
      <c r="IJG1" s="434"/>
      <c r="IJH1" s="434"/>
      <c r="IJI1" s="434"/>
      <c r="IJJ1" s="434"/>
      <c r="IJK1" s="434"/>
      <c r="IJL1" s="434"/>
      <c r="IJM1" s="434"/>
      <c r="IJN1" s="434"/>
      <c r="IJO1" s="434"/>
      <c r="IJP1" s="434"/>
      <c r="IJQ1" s="434"/>
      <c r="IJR1" s="434"/>
      <c r="IJS1" s="434"/>
      <c r="IJT1" s="434"/>
      <c r="IJU1" s="434"/>
      <c r="IJV1" s="434"/>
      <c r="IJW1" s="434"/>
      <c r="IJX1" s="434"/>
      <c r="IJY1" s="434"/>
      <c r="IJZ1" s="434"/>
      <c r="IKA1" s="434"/>
      <c r="IKB1" s="434"/>
      <c r="IKC1" s="434"/>
      <c r="IKD1" s="434"/>
      <c r="IKE1" s="434"/>
      <c r="IKF1" s="434"/>
      <c r="IKG1" s="434"/>
      <c r="IKH1" s="434"/>
      <c r="IKI1" s="434"/>
      <c r="IKJ1" s="434"/>
      <c r="IKK1" s="434"/>
      <c r="IKL1" s="434"/>
      <c r="IKM1" s="434"/>
      <c r="IKN1" s="434"/>
      <c r="IKO1" s="434"/>
      <c r="IKP1" s="434"/>
      <c r="IKQ1" s="434"/>
      <c r="IKR1" s="434"/>
      <c r="IKS1" s="434"/>
      <c r="IKT1" s="434"/>
      <c r="IKU1" s="434"/>
      <c r="IKV1" s="434"/>
      <c r="IKW1" s="434"/>
      <c r="IKX1" s="434"/>
      <c r="IKY1" s="434"/>
      <c r="IKZ1" s="434"/>
      <c r="ILA1" s="434"/>
      <c r="ILB1" s="434"/>
      <c r="ILC1" s="434"/>
      <c r="ILD1" s="434"/>
      <c r="ILE1" s="434"/>
      <c r="ILF1" s="434"/>
      <c r="ILG1" s="434"/>
      <c r="ILH1" s="434"/>
      <c r="ILI1" s="434"/>
      <c r="ILJ1" s="434"/>
      <c r="ILK1" s="434"/>
      <c r="ILL1" s="434"/>
      <c r="ILM1" s="434"/>
      <c r="ILN1" s="434"/>
      <c r="ILO1" s="434"/>
      <c r="ILP1" s="434"/>
      <c r="ILQ1" s="434"/>
      <c r="ILR1" s="434"/>
      <c r="ILS1" s="434"/>
      <c r="ILT1" s="434"/>
      <c r="ILU1" s="434"/>
      <c r="ILV1" s="434"/>
      <c r="ILW1" s="434"/>
      <c r="ILX1" s="434"/>
      <c r="ILY1" s="434"/>
      <c r="ILZ1" s="434"/>
      <c r="IMA1" s="434"/>
      <c r="IMB1" s="434"/>
      <c r="IMC1" s="434"/>
      <c r="IMD1" s="434"/>
      <c r="IME1" s="434"/>
      <c r="IMF1" s="434"/>
      <c r="IMG1" s="434"/>
      <c r="IMH1" s="434"/>
      <c r="IMI1" s="434"/>
      <c r="IMJ1" s="434"/>
      <c r="IMK1" s="434"/>
      <c r="IML1" s="434"/>
      <c r="IMM1" s="434"/>
      <c r="IMN1" s="434"/>
      <c r="IMO1" s="434"/>
      <c r="IMP1" s="434"/>
      <c r="IMQ1" s="434"/>
      <c r="IMR1" s="434"/>
      <c r="IMS1" s="434"/>
      <c r="IMT1" s="434"/>
      <c r="IMU1" s="434"/>
      <c r="IMV1" s="434"/>
      <c r="IMW1" s="434"/>
      <c r="IMX1" s="434"/>
      <c r="IMY1" s="434"/>
      <c r="IMZ1" s="434"/>
      <c r="INA1" s="434"/>
      <c r="INB1" s="434"/>
      <c r="INC1" s="434"/>
      <c r="IND1" s="434"/>
      <c r="INE1" s="434"/>
      <c r="INF1" s="434"/>
      <c r="ING1" s="434"/>
      <c r="INH1" s="434"/>
      <c r="INI1" s="434"/>
      <c r="INJ1" s="434"/>
      <c r="INK1" s="434"/>
      <c r="INL1" s="434"/>
      <c r="INM1" s="434"/>
      <c r="INN1" s="434"/>
      <c r="INO1" s="434"/>
      <c r="INP1" s="434"/>
      <c r="INQ1" s="434"/>
      <c r="INR1" s="434"/>
      <c r="INS1" s="434"/>
      <c r="INT1" s="434"/>
      <c r="INU1" s="434"/>
      <c r="INV1" s="434"/>
      <c r="INW1" s="434"/>
      <c r="INX1" s="434"/>
      <c r="INY1" s="434"/>
      <c r="INZ1" s="434"/>
      <c r="IOA1" s="434"/>
      <c r="IOB1" s="434"/>
      <c r="IOC1" s="434"/>
      <c r="IOD1" s="434"/>
      <c r="IOE1" s="434"/>
      <c r="IOF1" s="434"/>
      <c r="IOG1" s="434"/>
      <c r="IOH1" s="434"/>
      <c r="IOI1" s="434"/>
      <c r="IOJ1" s="434"/>
      <c r="IOK1" s="434"/>
      <c r="IOL1" s="434"/>
      <c r="IOM1" s="434"/>
      <c r="ION1" s="434"/>
      <c r="IOO1" s="434"/>
      <c r="IOP1" s="434"/>
      <c r="IOQ1" s="434"/>
      <c r="IOR1" s="434"/>
      <c r="IOS1" s="434"/>
      <c r="IOT1" s="434"/>
      <c r="IOU1" s="434"/>
      <c r="IOV1" s="434"/>
      <c r="IOW1" s="434"/>
      <c r="IOX1" s="434"/>
      <c r="IOY1" s="434"/>
      <c r="IOZ1" s="434"/>
      <c r="IPA1" s="434"/>
      <c r="IPB1" s="434"/>
      <c r="IPC1" s="434"/>
      <c r="IPD1" s="434"/>
      <c r="IPE1" s="434"/>
      <c r="IPF1" s="434"/>
      <c r="IPG1" s="434"/>
      <c r="IPH1" s="434"/>
      <c r="IPI1" s="434"/>
      <c r="IPJ1" s="434"/>
      <c r="IPK1" s="434"/>
      <c r="IPL1" s="434"/>
      <c r="IPM1" s="434"/>
      <c r="IPN1" s="434"/>
      <c r="IPO1" s="434"/>
      <c r="IPP1" s="434"/>
      <c r="IPQ1" s="434"/>
      <c r="IPR1" s="434"/>
      <c r="IPS1" s="434"/>
      <c r="IPT1" s="434"/>
      <c r="IPU1" s="434"/>
      <c r="IPV1" s="434"/>
      <c r="IPW1" s="434"/>
      <c r="IPX1" s="434"/>
      <c r="IPY1" s="434"/>
      <c r="IPZ1" s="434"/>
      <c r="IQA1" s="434"/>
      <c r="IQB1" s="434"/>
      <c r="IQC1" s="434"/>
      <c r="IQD1" s="434"/>
      <c r="IQE1" s="434"/>
      <c r="IQF1" s="434"/>
      <c r="IQG1" s="434"/>
      <c r="IQH1" s="434"/>
      <c r="IQI1" s="434"/>
      <c r="IQJ1" s="434"/>
      <c r="IQK1" s="434"/>
      <c r="IQL1" s="434"/>
      <c r="IQM1" s="434"/>
      <c r="IQN1" s="434"/>
      <c r="IQO1" s="434"/>
      <c r="IQP1" s="434"/>
      <c r="IQQ1" s="434"/>
      <c r="IQR1" s="434"/>
      <c r="IQS1" s="434"/>
      <c r="IQT1" s="434"/>
      <c r="IQU1" s="434"/>
      <c r="IQV1" s="434"/>
      <c r="IQW1" s="434"/>
      <c r="IQX1" s="434"/>
      <c r="IQY1" s="434"/>
      <c r="IQZ1" s="434"/>
      <c r="IRA1" s="434"/>
      <c r="IRB1" s="434"/>
      <c r="IRC1" s="434"/>
      <c r="IRD1" s="434"/>
      <c r="IRE1" s="434"/>
      <c r="IRF1" s="434"/>
      <c r="IRG1" s="434"/>
      <c r="IRH1" s="434"/>
      <c r="IRI1" s="434"/>
      <c r="IRJ1" s="434"/>
      <c r="IRK1" s="434"/>
      <c r="IRL1" s="434"/>
      <c r="IRM1" s="434"/>
      <c r="IRN1" s="434"/>
      <c r="IRO1" s="434"/>
      <c r="IRP1" s="434"/>
      <c r="IRQ1" s="434"/>
      <c r="IRR1" s="434"/>
      <c r="IRS1" s="434"/>
      <c r="IRT1" s="434"/>
      <c r="IRU1" s="434"/>
      <c r="IRV1" s="434"/>
      <c r="IRW1" s="434"/>
      <c r="IRX1" s="434"/>
      <c r="IRY1" s="434"/>
      <c r="IRZ1" s="434"/>
      <c r="ISA1" s="434"/>
      <c r="ISB1" s="434"/>
      <c r="ISC1" s="434"/>
      <c r="ISD1" s="434"/>
      <c r="ISE1" s="434"/>
      <c r="ISF1" s="434"/>
      <c r="ISG1" s="434"/>
      <c r="ISH1" s="434"/>
      <c r="ISI1" s="434"/>
      <c r="ISJ1" s="434"/>
      <c r="ISK1" s="434"/>
      <c r="ISL1" s="434"/>
      <c r="ISM1" s="434"/>
      <c r="ISN1" s="434"/>
      <c r="ISO1" s="434"/>
      <c r="ISP1" s="434"/>
      <c r="ISQ1" s="434"/>
      <c r="ISR1" s="434"/>
      <c r="ISS1" s="434"/>
      <c r="IST1" s="434"/>
      <c r="ISU1" s="434"/>
      <c r="ISV1" s="434"/>
      <c r="ISW1" s="434"/>
      <c r="ISX1" s="434"/>
      <c r="ISY1" s="434"/>
      <c r="ISZ1" s="434"/>
      <c r="ITA1" s="434"/>
      <c r="ITB1" s="434"/>
      <c r="ITC1" s="434"/>
      <c r="ITD1" s="434"/>
      <c r="ITE1" s="434"/>
      <c r="ITF1" s="434"/>
      <c r="ITG1" s="434"/>
      <c r="ITH1" s="434"/>
      <c r="ITI1" s="434"/>
      <c r="ITJ1" s="434"/>
      <c r="ITK1" s="434"/>
      <c r="ITL1" s="434"/>
      <c r="ITM1" s="434"/>
      <c r="ITN1" s="434"/>
      <c r="ITO1" s="434"/>
      <c r="ITP1" s="434"/>
      <c r="ITQ1" s="434"/>
      <c r="ITR1" s="434"/>
      <c r="ITS1" s="434"/>
      <c r="ITT1" s="434"/>
      <c r="ITU1" s="434"/>
      <c r="ITV1" s="434"/>
      <c r="ITW1" s="434"/>
      <c r="ITX1" s="434"/>
      <c r="ITY1" s="434"/>
      <c r="ITZ1" s="434"/>
      <c r="IUA1" s="434"/>
      <c r="IUB1" s="434"/>
      <c r="IUC1" s="434"/>
      <c r="IUD1" s="434"/>
      <c r="IUE1" s="434"/>
      <c r="IUF1" s="434"/>
      <c r="IUG1" s="434"/>
      <c r="IUH1" s="434"/>
      <c r="IUI1" s="434"/>
      <c r="IUJ1" s="434"/>
      <c r="IUK1" s="434"/>
      <c r="IUL1" s="434"/>
      <c r="IUM1" s="434"/>
      <c r="IUN1" s="434"/>
      <c r="IUO1" s="434"/>
      <c r="IUP1" s="434"/>
      <c r="IUQ1" s="434"/>
      <c r="IUR1" s="434"/>
      <c r="IUS1" s="434"/>
      <c r="IUT1" s="434"/>
      <c r="IUU1" s="434"/>
      <c r="IUV1" s="434"/>
      <c r="IUW1" s="434"/>
      <c r="IUX1" s="434"/>
      <c r="IUY1" s="434"/>
      <c r="IUZ1" s="434"/>
      <c r="IVA1" s="434"/>
      <c r="IVB1" s="434"/>
      <c r="IVC1" s="434"/>
      <c r="IVD1" s="434"/>
      <c r="IVE1" s="434"/>
      <c r="IVF1" s="434"/>
      <c r="IVG1" s="434"/>
      <c r="IVH1" s="434"/>
      <c r="IVI1" s="434"/>
      <c r="IVJ1" s="434"/>
      <c r="IVK1" s="434"/>
      <c r="IVL1" s="434"/>
      <c r="IVM1" s="434"/>
      <c r="IVN1" s="434"/>
      <c r="IVO1" s="434"/>
      <c r="IVP1" s="434"/>
      <c r="IVQ1" s="434"/>
      <c r="IVR1" s="434"/>
      <c r="IVS1" s="434"/>
      <c r="IVT1" s="434"/>
      <c r="IVU1" s="434"/>
      <c r="IVV1" s="434"/>
      <c r="IVW1" s="434"/>
      <c r="IVX1" s="434"/>
      <c r="IVY1" s="434"/>
      <c r="IVZ1" s="434"/>
      <c r="IWA1" s="434"/>
      <c r="IWB1" s="434"/>
      <c r="IWC1" s="434"/>
      <c r="IWD1" s="434"/>
      <c r="IWE1" s="434"/>
      <c r="IWF1" s="434"/>
      <c r="IWG1" s="434"/>
      <c r="IWH1" s="434"/>
      <c r="IWI1" s="434"/>
      <c r="IWJ1" s="434"/>
      <c r="IWK1" s="434"/>
      <c r="IWL1" s="434"/>
      <c r="IWM1" s="434"/>
      <c r="IWN1" s="434"/>
      <c r="IWO1" s="434"/>
      <c r="IWP1" s="434"/>
      <c r="IWQ1" s="434"/>
      <c r="IWR1" s="434"/>
      <c r="IWS1" s="434"/>
      <c r="IWT1" s="434"/>
      <c r="IWU1" s="434"/>
      <c r="IWV1" s="434"/>
      <c r="IWW1" s="434"/>
      <c r="IWX1" s="434"/>
      <c r="IWY1" s="434"/>
      <c r="IWZ1" s="434"/>
      <c r="IXA1" s="434"/>
      <c r="IXB1" s="434"/>
      <c r="IXC1" s="434"/>
      <c r="IXD1" s="434"/>
      <c r="IXE1" s="434"/>
      <c r="IXF1" s="434"/>
      <c r="IXG1" s="434"/>
      <c r="IXH1" s="434"/>
      <c r="IXI1" s="434"/>
      <c r="IXJ1" s="434"/>
      <c r="IXK1" s="434"/>
      <c r="IXL1" s="434"/>
      <c r="IXM1" s="434"/>
      <c r="IXN1" s="434"/>
      <c r="IXO1" s="434"/>
      <c r="IXP1" s="434"/>
      <c r="IXQ1" s="434"/>
      <c r="IXR1" s="434"/>
      <c r="IXS1" s="434"/>
      <c r="IXT1" s="434"/>
      <c r="IXU1" s="434"/>
      <c r="IXV1" s="434"/>
      <c r="IXW1" s="434"/>
      <c r="IXX1" s="434"/>
      <c r="IXY1" s="434"/>
      <c r="IXZ1" s="434"/>
      <c r="IYA1" s="434"/>
      <c r="IYB1" s="434"/>
      <c r="IYC1" s="434"/>
      <c r="IYD1" s="434"/>
      <c r="IYE1" s="434"/>
      <c r="IYF1" s="434"/>
      <c r="IYG1" s="434"/>
      <c r="IYH1" s="434"/>
      <c r="IYI1" s="434"/>
      <c r="IYJ1" s="434"/>
      <c r="IYK1" s="434"/>
      <c r="IYL1" s="434"/>
      <c r="IYM1" s="434"/>
      <c r="IYN1" s="434"/>
      <c r="IYO1" s="434"/>
      <c r="IYP1" s="434"/>
      <c r="IYQ1" s="434"/>
      <c r="IYR1" s="434"/>
      <c r="IYS1" s="434"/>
      <c r="IYT1" s="434"/>
      <c r="IYU1" s="434"/>
      <c r="IYV1" s="434"/>
      <c r="IYW1" s="434"/>
      <c r="IYX1" s="434"/>
      <c r="IYY1" s="434"/>
      <c r="IYZ1" s="434"/>
      <c r="IZA1" s="434"/>
      <c r="IZB1" s="434"/>
      <c r="IZC1" s="434"/>
      <c r="IZD1" s="434"/>
      <c r="IZE1" s="434"/>
      <c r="IZF1" s="434"/>
      <c r="IZG1" s="434"/>
      <c r="IZH1" s="434"/>
      <c r="IZI1" s="434"/>
      <c r="IZJ1" s="434"/>
      <c r="IZK1" s="434"/>
      <c r="IZL1" s="434"/>
      <c r="IZM1" s="434"/>
      <c r="IZN1" s="434"/>
      <c r="IZO1" s="434"/>
      <c r="IZP1" s="434"/>
      <c r="IZQ1" s="434"/>
      <c r="IZR1" s="434"/>
      <c r="IZS1" s="434"/>
      <c r="IZT1" s="434"/>
      <c r="IZU1" s="434"/>
      <c r="IZV1" s="434"/>
      <c r="IZW1" s="434"/>
      <c r="IZX1" s="434"/>
      <c r="IZY1" s="434"/>
      <c r="IZZ1" s="434"/>
      <c r="JAA1" s="434"/>
      <c r="JAB1" s="434"/>
      <c r="JAC1" s="434"/>
      <c r="JAD1" s="434"/>
      <c r="JAE1" s="434"/>
      <c r="JAF1" s="434"/>
      <c r="JAG1" s="434"/>
      <c r="JAH1" s="434"/>
      <c r="JAI1" s="434"/>
      <c r="JAJ1" s="434"/>
      <c r="JAK1" s="434"/>
      <c r="JAL1" s="434"/>
      <c r="JAM1" s="434"/>
      <c r="JAN1" s="434"/>
      <c r="JAO1" s="434"/>
      <c r="JAP1" s="434"/>
      <c r="JAQ1" s="434"/>
      <c r="JAR1" s="434"/>
      <c r="JAS1" s="434"/>
      <c r="JAT1" s="434"/>
      <c r="JAU1" s="434"/>
      <c r="JAV1" s="434"/>
      <c r="JAW1" s="434"/>
      <c r="JAX1" s="434"/>
      <c r="JAY1" s="434"/>
      <c r="JAZ1" s="434"/>
      <c r="JBA1" s="434"/>
      <c r="JBB1" s="434"/>
      <c r="JBC1" s="434"/>
      <c r="JBD1" s="434"/>
      <c r="JBE1" s="434"/>
      <c r="JBF1" s="434"/>
      <c r="JBG1" s="434"/>
      <c r="JBH1" s="434"/>
      <c r="JBI1" s="434"/>
      <c r="JBJ1" s="434"/>
      <c r="JBK1" s="434"/>
      <c r="JBL1" s="434"/>
      <c r="JBM1" s="434"/>
      <c r="JBN1" s="434"/>
      <c r="JBO1" s="434"/>
      <c r="JBP1" s="434"/>
      <c r="JBQ1" s="434"/>
      <c r="JBR1" s="434"/>
      <c r="JBS1" s="434"/>
      <c r="JBT1" s="434"/>
      <c r="JBU1" s="434"/>
      <c r="JBV1" s="434"/>
      <c r="JBW1" s="434"/>
      <c r="JBX1" s="434"/>
      <c r="JBY1" s="434"/>
      <c r="JBZ1" s="434"/>
      <c r="JCA1" s="434"/>
      <c r="JCB1" s="434"/>
      <c r="JCC1" s="434"/>
      <c r="JCD1" s="434"/>
      <c r="JCE1" s="434"/>
      <c r="JCF1" s="434"/>
      <c r="JCG1" s="434"/>
      <c r="JCH1" s="434"/>
      <c r="JCI1" s="434"/>
      <c r="JCJ1" s="434"/>
      <c r="JCK1" s="434"/>
      <c r="JCL1" s="434"/>
      <c r="JCM1" s="434"/>
      <c r="JCN1" s="434"/>
      <c r="JCO1" s="434"/>
      <c r="JCP1" s="434"/>
      <c r="JCQ1" s="434"/>
      <c r="JCR1" s="434"/>
      <c r="JCS1" s="434"/>
      <c r="JCT1" s="434"/>
      <c r="JCU1" s="434"/>
      <c r="JCV1" s="434"/>
      <c r="JCW1" s="434"/>
      <c r="JCX1" s="434"/>
      <c r="JCY1" s="434"/>
      <c r="JCZ1" s="434"/>
      <c r="JDA1" s="434"/>
      <c r="JDB1" s="434"/>
      <c r="JDC1" s="434"/>
      <c r="JDD1" s="434"/>
      <c r="JDE1" s="434"/>
      <c r="JDF1" s="434"/>
      <c r="JDG1" s="434"/>
      <c r="JDH1" s="434"/>
      <c r="JDI1" s="434"/>
      <c r="JDJ1" s="434"/>
      <c r="JDK1" s="434"/>
      <c r="JDL1" s="434"/>
      <c r="JDM1" s="434"/>
      <c r="JDN1" s="434"/>
      <c r="JDO1" s="434"/>
      <c r="JDP1" s="434"/>
      <c r="JDQ1" s="434"/>
      <c r="JDR1" s="434"/>
      <c r="JDS1" s="434"/>
      <c r="JDT1" s="434"/>
      <c r="JDU1" s="434"/>
      <c r="JDV1" s="434"/>
      <c r="JDW1" s="434"/>
      <c r="JDX1" s="434"/>
      <c r="JDY1" s="434"/>
      <c r="JDZ1" s="434"/>
      <c r="JEA1" s="434"/>
      <c r="JEB1" s="434"/>
      <c r="JEC1" s="434"/>
      <c r="JED1" s="434"/>
      <c r="JEE1" s="434"/>
      <c r="JEF1" s="434"/>
      <c r="JEG1" s="434"/>
      <c r="JEH1" s="434"/>
      <c r="JEI1" s="434"/>
      <c r="JEJ1" s="434"/>
      <c r="JEK1" s="434"/>
      <c r="JEL1" s="434"/>
      <c r="JEM1" s="434"/>
      <c r="JEN1" s="434"/>
      <c r="JEO1" s="434"/>
      <c r="JEP1" s="434"/>
      <c r="JEQ1" s="434"/>
      <c r="JER1" s="434"/>
      <c r="JES1" s="434"/>
      <c r="JET1" s="434"/>
      <c r="JEU1" s="434"/>
      <c r="JEV1" s="434"/>
      <c r="JEW1" s="434"/>
      <c r="JEX1" s="434"/>
      <c r="JEY1" s="434"/>
      <c r="JEZ1" s="434"/>
      <c r="JFA1" s="434"/>
      <c r="JFB1" s="434"/>
      <c r="JFC1" s="434"/>
      <c r="JFD1" s="434"/>
      <c r="JFE1" s="434"/>
      <c r="JFF1" s="434"/>
      <c r="JFG1" s="434"/>
      <c r="JFH1" s="434"/>
      <c r="JFI1" s="434"/>
      <c r="JFJ1" s="434"/>
      <c r="JFK1" s="434"/>
      <c r="JFL1" s="434"/>
      <c r="JFM1" s="434"/>
      <c r="JFN1" s="434"/>
      <c r="JFO1" s="434"/>
      <c r="JFP1" s="434"/>
      <c r="JFQ1" s="434"/>
      <c r="JFR1" s="434"/>
      <c r="JFS1" s="434"/>
      <c r="JFT1" s="434"/>
      <c r="JFU1" s="434"/>
      <c r="JFV1" s="434"/>
      <c r="JFW1" s="434"/>
      <c r="JFX1" s="434"/>
      <c r="JFY1" s="434"/>
      <c r="JFZ1" s="434"/>
      <c r="JGA1" s="434"/>
      <c r="JGB1" s="434"/>
      <c r="JGC1" s="434"/>
      <c r="JGD1" s="434"/>
      <c r="JGE1" s="434"/>
      <c r="JGF1" s="434"/>
      <c r="JGG1" s="434"/>
      <c r="JGH1" s="434"/>
      <c r="JGI1" s="434"/>
      <c r="JGJ1" s="434"/>
      <c r="JGK1" s="434"/>
      <c r="JGL1" s="434"/>
      <c r="JGM1" s="434"/>
      <c r="JGN1" s="434"/>
      <c r="JGO1" s="434"/>
      <c r="JGP1" s="434"/>
      <c r="JGQ1" s="434"/>
      <c r="JGR1" s="434"/>
      <c r="JGS1" s="434"/>
      <c r="JGT1" s="434"/>
      <c r="JGU1" s="434"/>
      <c r="JGV1" s="434"/>
      <c r="JGW1" s="434"/>
      <c r="JGX1" s="434"/>
      <c r="JGY1" s="434"/>
      <c r="JGZ1" s="434"/>
      <c r="JHA1" s="434"/>
      <c r="JHB1" s="434"/>
      <c r="JHC1" s="434"/>
      <c r="JHD1" s="434"/>
      <c r="JHE1" s="434"/>
      <c r="JHF1" s="434"/>
      <c r="JHG1" s="434"/>
      <c r="JHH1" s="434"/>
      <c r="JHI1" s="434"/>
      <c r="JHJ1" s="434"/>
      <c r="JHK1" s="434"/>
      <c r="JHL1" s="434"/>
      <c r="JHM1" s="434"/>
      <c r="JHN1" s="434"/>
      <c r="JHO1" s="434"/>
      <c r="JHP1" s="434"/>
      <c r="JHQ1" s="434"/>
      <c r="JHR1" s="434"/>
      <c r="JHS1" s="434"/>
      <c r="JHT1" s="434"/>
      <c r="JHU1" s="434"/>
      <c r="JHV1" s="434"/>
      <c r="JHW1" s="434"/>
      <c r="JHX1" s="434"/>
      <c r="JHY1" s="434"/>
      <c r="JHZ1" s="434"/>
      <c r="JIA1" s="434"/>
      <c r="JIB1" s="434"/>
      <c r="JIC1" s="434"/>
      <c r="JID1" s="434"/>
      <c r="JIE1" s="434"/>
      <c r="JIF1" s="434"/>
      <c r="JIG1" s="434"/>
      <c r="JIH1" s="434"/>
      <c r="JII1" s="434"/>
      <c r="JIJ1" s="434"/>
      <c r="JIK1" s="434"/>
      <c r="JIL1" s="434"/>
      <c r="JIM1" s="434"/>
      <c r="JIN1" s="434"/>
      <c r="JIO1" s="434"/>
      <c r="JIP1" s="434"/>
      <c r="JIQ1" s="434"/>
      <c r="JIR1" s="434"/>
      <c r="JIS1" s="434"/>
      <c r="JIT1" s="434"/>
      <c r="JIU1" s="434"/>
      <c r="JIV1" s="434"/>
      <c r="JIW1" s="434"/>
      <c r="JIX1" s="434"/>
      <c r="JIY1" s="434"/>
      <c r="JIZ1" s="434"/>
      <c r="JJA1" s="434"/>
      <c r="JJB1" s="434"/>
      <c r="JJC1" s="434"/>
      <c r="JJD1" s="434"/>
      <c r="JJE1" s="434"/>
      <c r="JJF1" s="434"/>
      <c r="JJG1" s="434"/>
      <c r="JJH1" s="434"/>
      <c r="JJI1" s="434"/>
      <c r="JJJ1" s="434"/>
      <c r="JJK1" s="434"/>
      <c r="JJL1" s="434"/>
      <c r="JJM1" s="434"/>
      <c r="JJN1" s="434"/>
      <c r="JJO1" s="434"/>
      <c r="JJP1" s="434"/>
      <c r="JJQ1" s="434"/>
      <c r="JJR1" s="434"/>
      <c r="JJS1" s="434"/>
      <c r="JJT1" s="434"/>
      <c r="JJU1" s="434"/>
      <c r="JJV1" s="434"/>
      <c r="JJW1" s="434"/>
      <c r="JJX1" s="434"/>
      <c r="JJY1" s="434"/>
      <c r="JJZ1" s="434"/>
      <c r="JKA1" s="434"/>
      <c r="JKB1" s="434"/>
      <c r="JKC1" s="434"/>
      <c r="JKD1" s="434"/>
      <c r="JKE1" s="434"/>
      <c r="JKF1" s="434"/>
      <c r="JKG1" s="434"/>
      <c r="JKH1" s="434"/>
      <c r="JKI1" s="434"/>
      <c r="JKJ1" s="434"/>
      <c r="JKK1" s="434"/>
      <c r="JKL1" s="434"/>
      <c r="JKM1" s="434"/>
      <c r="JKN1" s="434"/>
      <c r="JKO1" s="434"/>
      <c r="JKP1" s="434"/>
      <c r="JKQ1" s="434"/>
      <c r="JKR1" s="434"/>
      <c r="JKS1" s="434"/>
      <c r="JKT1" s="434"/>
      <c r="JKU1" s="434"/>
      <c r="JKV1" s="434"/>
      <c r="JKW1" s="434"/>
      <c r="JKX1" s="434"/>
      <c r="JKY1" s="434"/>
      <c r="JKZ1" s="434"/>
      <c r="JLA1" s="434"/>
      <c r="JLB1" s="434"/>
      <c r="JLC1" s="434"/>
      <c r="JLD1" s="434"/>
      <c r="JLE1" s="434"/>
      <c r="JLF1" s="434"/>
      <c r="JLG1" s="434"/>
      <c r="JLH1" s="434"/>
      <c r="JLI1" s="434"/>
      <c r="JLJ1" s="434"/>
      <c r="JLK1" s="434"/>
      <c r="JLL1" s="434"/>
      <c r="JLM1" s="434"/>
      <c r="JLN1" s="434"/>
      <c r="JLO1" s="434"/>
      <c r="JLP1" s="434"/>
      <c r="JLQ1" s="434"/>
      <c r="JLR1" s="434"/>
      <c r="JLS1" s="434"/>
      <c r="JLT1" s="434"/>
      <c r="JLU1" s="434"/>
      <c r="JLV1" s="434"/>
      <c r="JLW1" s="434"/>
      <c r="JLX1" s="434"/>
      <c r="JLY1" s="434"/>
      <c r="JLZ1" s="434"/>
      <c r="JMA1" s="434"/>
      <c r="JMB1" s="434"/>
      <c r="JMC1" s="434"/>
      <c r="JMD1" s="434"/>
      <c r="JME1" s="434"/>
      <c r="JMF1" s="434"/>
      <c r="JMG1" s="434"/>
      <c r="JMH1" s="434"/>
      <c r="JMI1" s="434"/>
      <c r="JMJ1" s="434"/>
      <c r="JMK1" s="434"/>
      <c r="JML1" s="434"/>
      <c r="JMM1" s="434"/>
      <c r="JMN1" s="434"/>
      <c r="JMO1" s="434"/>
      <c r="JMP1" s="434"/>
      <c r="JMQ1" s="434"/>
      <c r="JMR1" s="434"/>
      <c r="JMS1" s="434"/>
      <c r="JMT1" s="434"/>
      <c r="JMU1" s="434"/>
      <c r="JMV1" s="434"/>
      <c r="JMW1" s="434"/>
      <c r="JMX1" s="434"/>
      <c r="JMY1" s="434"/>
      <c r="JMZ1" s="434"/>
      <c r="JNA1" s="434"/>
      <c r="JNB1" s="434"/>
      <c r="JNC1" s="434"/>
      <c r="JND1" s="434"/>
      <c r="JNE1" s="434"/>
      <c r="JNF1" s="434"/>
      <c r="JNG1" s="434"/>
      <c r="JNH1" s="434"/>
      <c r="JNI1" s="434"/>
      <c r="JNJ1" s="434"/>
      <c r="JNK1" s="434"/>
      <c r="JNL1" s="434"/>
      <c r="JNM1" s="434"/>
      <c r="JNN1" s="434"/>
      <c r="JNO1" s="434"/>
      <c r="JNP1" s="434"/>
      <c r="JNQ1" s="434"/>
      <c r="JNR1" s="434"/>
      <c r="JNS1" s="434"/>
      <c r="JNT1" s="434"/>
      <c r="JNU1" s="434"/>
      <c r="JNV1" s="434"/>
      <c r="JNW1" s="434"/>
      <c r="JNX1" s="434"/>
      <c r="JNY1" s="434"/>
      <c r="JNZ1" s="434"/>
      <c r="JOA1" s="434"/>
      <c r="JOB1" s="434"/>
      <c r="JOC1" s="434"/>
      <c r="JOD1" s="434"/>
      <c r="JOE1" s="434"/>
      <c r="JOF1" s="434"/>
      <c r="JOG1" s="434"/>
      <c r="JOH1" s="434"/>
      <c r="JOI1" s="434"/>
      <c r="JOJ1" s="434"/>
      <c r="JOK1" s="434"/>
      <c r="JOL1" s="434"/>
      <c r="JOM1" s="434"/>
      <c r="JON1" s="434"/>
      <c r="JOO1" s="434"/>
      <c r="JOP1" s="434"/>
      <c r="JOQ1" s="434"/>
      <c r="JOR1" s="434"/>
      <c r="JOS1" s="434"/>
      <c r="JOT1" s="434"/>
      <c r="JOU1" s="434"/>
      <c r="JOV1" s="434"/>
      <c r="JOW1" s="434"/>
      <c r="JOX1" s="434"/>
      <c r="JOY1" s="434"/>
      <c r="JOZ1" s="434"/>
      <c r="JPA1" s="434"/>
      <c r="JPB1" s="434"/>
      <c r="JPC1" s="434"/>
      <c r="JPD1" s="434"/>
      <c r="JPE1" s="434"/>
      <c r="JPF1" s="434"/>
      <c r="JPG1" s="434"/>
      <c r="JPH1" s="434"/>
      <c r="JPI1" s="434"/>
      <c r="JPJ1" s="434"/>
      <c r="JPK1" s="434"/>
      <c r="JPL1" s="434"/>
      <c r="JPM1" s="434"/>
      <c r="JPN1" s="434"/>
      <c r="JPO1" s="434"/>
      <c r="JPP1" s="434"/>
      <c r="JPQ1" s="434"/>
      <c r="JPR1" s="434"/>
      <c r="JPS1" s="434"/>
      <c r="JPT1" s="434"/>
      <c r="JPU1" s="434"/>
      <c r="JPV1" s="434"/>
      <c r="JPW1" s="434"/>
      <c r="JPX1" s="434"/>
      <c r="JPY1" s="434"/>
      <c r="JPZ1" s="434"/>
      <c r="JQA1" s="434"/>
      <c r="JQB1" s="434"/>
      <c r="JQC1" s="434"/>
      <c r="JQD1" s="434"/>
      <c r="JQE1" s="434"/>
      <c r="JQF1" s="434"/>
      <c r="JQG1" s="434"/>
      <c r="JQH1" s="434"/>
      <c r="JQI1" s="434"/>
      <c r="JQJ1" s="434"/>
      <c r="JQK1" s="434"/>
      <c r="JQL1" s="434"/>
      <c r="JQM1" s="434"/>
      <c r="JQN1" s="434"/>
      <c r="JQO1" s="434"/>
      <c r="JQP1" s="434"/>
      <c r="JQQ1" s="434"/>
      <c r="JQR1" s="434"/>
      <c r="JQS1" s="434"/>
      <c r="JQT1" s="434"/>
      <c r="JQU1" s="434"/>
      <c r="JQV1" s="434"/>
      <c r="JQW1" s="434"/>
      <c r="JQX1" s="434"/>
      <c r="JQY1" s="434"/>
      <c r="JQZ1" s="434"/>
      <c r="JRA1" s="434"/>
      <c r="JRB1" s="434"/>
      <c r="JRC1" s="434"/>
      <c r="JRD1" s="434"/>
      <c r="JRE1" s="434"/>
      <c r="JRF1" s="434"/>
      <c r="JRG1" s="434"/>
      <c r="JRH1" s="434"/>
      <c r="JRI1" s="434"/>
      <c r="JRJ1" s="434"/>
      <c r="JRK1" s="434"/>
      <c r="JRL1" s="434"/>
      <c r="JRM1" s="434"/>
      <c r="JRN1" s="434"/>
      <c r="JRO1" s="434"/>
      <c r="JRP1" s="434"/>
      <c r="JRQ1" s="434"/>
      <c r="JRR1" s="434"/>
      <c r="JRS1" s="434"/>
      <c r="JRT1" s="434"/>
      <c r="JRU1" s="434"/>
      <c r="JRV1" s="434"/>
      <c r="JRW1" s="434"/>
      <c r="JRX1" s="434"/>
      <c r="JRY1" s="434"/>
      <c r="JRZ1" s="434"/>
      <c r="JSA1" s="434"/>
      <c r="JSB1" s="434"/>
      <c r="JSC1" s="434"/>
      <c r="JSD1" s="434"/>
      <c r="JSE1" s="434"/>
      <c r="JSF1" s="434"/>
      <c r="JSG1" s="434"/>
      <c r="JSH1" s="434"/>
      <c r="JSI1" s="434"/>
      <c r="JSJ1" s="434"/>
      <c r="JSK1" s="434"/>
      <c r="JSL1" s="434"/>
      <c r="JSM1" s="434"/>
      <c r="JSN1" s="434"/>
      <c r="JSO1" s="434"/>
      <c r="JSP1" s="434"/>
      <c r="JSQ1" s="434"/>
      <c r="JSR1" s="434"/>
      <c r="JSS1" s="434"/>
      <c r="JST1" s="434"/>
      <c r="JSU1" s="434"/>
      <c r="JSV1" s="434"/>
      <c r="JSW1" s="434"/>
      <c r="JSX1" s="434"/>
      <c r="JSY1" s="434"/>
      <c r="JSZ1" s="434"/>
      <c r="JTA1" s="434"/>
      <c r="JTB1" s="434"/>
      <c r="JTC1" s="434"/>
      <c r="JTD1" s="434"/>
      <c r="JTE1" s="434"/>
      <c r="JTF1" s="434"/>
      <c r="JTG1" s="434"/>
      <c r="JTH1" s="434"/>
      <c r="JTI1" s="434"/>
      <c r="JTJ1" s="434"/>
      <c r="JTK1" s="434"/>
      <c r="JTL1" s="434"/>
      <c r="JTM1" s="434"/>
      <c r="JTN1" s="434"/>
      <c r="JTO1" s="434"/>
      <c r="JTP1" s="434"/>
      <c r="JTQ1" s="434"/>
      <c r="JTR1" s="434"/>
      <c r="JTS1" s="434"/>
      <c r="JTT1" s="434"/>
      <c r="JTU1" s="434"/>
      <c r="JTV1" s="434"/>
      <c r="JTW1" s="434"/>
      <c r="JTX1" s="434"/>
      <c r="JTY1" s="434"/>
      <c r="JTZ1" s="434"/>
      <c r="JUA1" s="434"/>
      <c r="JUB1" s="434"/>
      <c r="JUC1" s="434"/>
      <c r="JUD1" s="434"/>
      <c r="JUE1" s="434"/>
      <c r="JUF1" s="434"/>
      <c r="JUG1" s="434"/>
      <c r="JUH1" s="434"/>
      <c r="JUI1" s="434"/>
      <c r="JUJ1" s="434"/>
      <c r="JUK1" s="434"/>
      <c r="JUL1" s="434"/>
      <c r="JUM1" s="434"/>
      <c r="JUN1" s="434"/>
      <c r="JUO1" s="434"/>
      <c r="JUP1" s="434"/>
      <c r="JUQ1" s="434"/>
      <c r="JUR1" s="434"/>
      <c r="JUS1" s="434"/>
      <c r="JUT1" s="434"/>
      <c r="JUU1" s="434"/>
      <c r="JUV1" s="434"/>
      <c r="JUW1" s="434"/>
      <c r="JUX1" s="434"/>
      <c r="JUY1" s="434"/>
      <c r="JUZ1" s="434"/>
      <c r="JVA1" s="434"/>
      <c r="JVB1" s="434"/>
      <c r="JVC1" s="434"/>
      <c r="JVD1" s="434"/>
      <c r="JVE1" s="434"/>
      <c r="JVF1" s="434"/>
      <c r="JVG1" s="434"/>
      <c r="JVH1" s="434"/>
      <c r="JVI1" s="434"/>
      <c r="JVJ1" s="434"/>
      <c r="JVK1" s="434"/>
      <c r="JVL1" s="434"/>
      <c r="JVM1" s="434"/>
      <c r="JVN1" s="434"/>
      <c r="JVO1" s="434"/>
      <c r="JVP1" s="434"/>
      <c r="JVQ1" s="434"/>
      <c r="JVR1" s="434"/>
      <c r="JVS1" s="434"/>
      <c r="JVT1" s="434"/>
      <c r="JVU1" s="434"/>
      <c r="JVV1" s="434"/>
      <c r="JVW1" s="434"/>
      <c r="JVX1" s="434"/>
      <c r="JVY1" s="434"/>
      <c r="JVZ1" s="434"/>
      <c r="JWA1" s="434"/>
      <c r="JWB1" s="434"/>
      <c r="JWC1" s="434"/>
      <c r="JWD1" s="434"/>
      <c r="JWE1" s="434"/>
      <c r="JWF1" s="434"/>
      <c r="JWG1" s="434"/>
      <c r="JWH1" s="434"/>
      <c r="JWI1" s="434"/>
      <c r="JWJ1" s="434"/>
      <c r="JWK1" s="434"/>
      <c r="JWL1" s="434"/>
      <c r="JWM1" s="434"/>
      <c r="JWN1" s="434"/>
      <c r="JWO1" s="434"/>
      <c r="JWP1" s="434"/>
      <c r="JWQ1" s="434"/>
      <c r="JWR1" s="434"/>
      <c r="JWS1" s="434"/>
      <c r="JWT1" s="434"/>
      <c r="JWU1" s="434"/>
      <c r="JWV1" s="434"/>
      <c r="JWW1" s="434"/>
      <c r="JWX1" s="434"/>
      <c r="JWY1" s="434"/>
      <c r="JWZ1" s="434"/>
      <c r="JXA1" s="434"/>
      <c r="JXB1" s="434"/>
      <c r="JXC1" s="434"/>
      <c r="JXD1" s="434"/>
      <c r="JXE1" s="434"/>
      <c r="JXF1" s="434"/>
      <c r="JXG1" s="434"/>
      <c r="JXH1" s="434"/>
      <c r="JXI1" s="434"/>
      <c r="JXJ1" s="434"/>
      <c r="JXK1" s="434"/>
      <c r="JXL1" s="434"/>
      <c r="JXM1" s="434"/>
      <c r="JXN1" s="434"/>
      <c r="JXO1" s="434"/>
      <c r="JXP1" s="434"/>
      <c r="JXQ1" s="434"/>
      <c r="JXR1" s="434"/>
      <c r="JXS1" s="434"/>
      <c r="JXT1" s="434"/>
      <c r="JXU1" s="434"/>
      <c r="JXV1" s="434"/>
      <c r="JXW1" s="434"/>
      <c r="JXX1" s="434"/>
      <c r="JXY1" s="434"/>
      <c r="JXZ1" s="434"/>
      <c r="JYA1" s="434"/>
      <c r="JYB1" s="434"/>
      <c r="JYC1" s="434"/>
      <c r="JYD1" s="434"/>
      <c r="JYE1" s="434"/>
      <c r="JYF1" s="434"/>
      <c r="JYG1" s="434"/>
      <c r="JYH1" s="434"/>
      <c r="JYI1" s="434"/>
      <c r="JYJ1" s="434"/>
      <c r="JYK1" s="434"/>
      <c r="JYL1" s="434"/>
      <c r="JYM1" s="434"/>
      <c r="JYN1" s="434"/>
      <c r="JYO1" s="434"/>
      <c r="JYP1" s="434"/>
      <c r="JYQ1" s="434"/>
      <c r="JYR1" s="434"/>
      <c r="JYS1" s="434"/>
      <c r="JYT1" s="434"/>
      <c r="JYU1" s="434"/>
      <c r="JYV1" s="434"/>
      <c r="JYW1" s="434"/>
      <c r="JYX1" s="434"/>
      <c r="JYY1" s="434"/>
      <c r="JYZ1" s="434"/>
      <c r="JZA1" s="434"/>
      <c r="JZB1" s="434"/>
      <c r="JZC1" s="434"/>
      <c r="JZD1" s="434"/>
      <c r="JZE1" s="434"/>
      <c r="JZF1" s="434"/>
      <c r="JZG1" s="434"/>
      <c r="JZH1" s="434"/>
      <c r="JZI1" s="434"/>
      <c r="JZJ1" s="434"/>
      <c r="JZK1" s="434"/>
      <c r="JZL1" s="434"/>
      <c r="JZM1" s="434"/>
      <c r="JZN1" s="434"/>
      <c r="JZO1" s="434"/>
      <c r="JZP1" s="434"/>
      <c r="JZQ1" s="434"/>
      <c r="JZR1" s="434"/>
      <c r="JZS1" s="434"/>
      <c r="JZT1" s="434"/>
      <c r="JZU1" s="434"/>
      <c r="JZV1" s="434"/>
      <c r="JZW1" s="434"/>
      <c r="JZX1" s="434"/>
      <c r="JZY1" s="434"/>
      <c r="JZZ1" s="434"/>
      <c r="KAA1" s="434"/>
      <c r="KAB1" s="434"/>
      <c r="KAC1" s="434"/>
      <c r="KAD1" s="434"/>
      <c r="KAE1" s="434"/>
      <c r="KAF1" s="434"/>
      <c r="KAG1" s="434"/>
      <c r="KAH1" s="434"/>
      <c r="KAI1" s="434"/>
      <c r="KAJ1" s="434"/>
      <c r="KAK1" s="434"/>
      <c r="KAL1" s="434"/>
      <c r="KAM1" s="434"/>
      <c r="KAN1" s="434"/>
      <c r="KAO1" s="434"/>
      <c r="KAP1" s="434"/>
      <c r="KAQ1" s="434"/>
      <c r="KAR1" s="434"/>
      <c r="KAS1" s="434"/>
      <c r="KAT1" s="434"/>
      <c r="KAU1" s="434"/>
      <c r="KAV1" s="434"/>
      <c r="KAW1" s="434"/>
      <c r="KAX1" s="434"/>
      <c r="KAY1" s="434"/>
      <c r="KAZ1" s="434"/>
      <c r="KBA1" s="434"/>
      <c r="KBB1" s="434"/>
      <c r="KBC1" s="434"/>
      <c r="KBD1" s="434"/>
      <c r="KBE1" s="434"/>
      <c r="KBF1" s="434"/>
      <c r="KBG1" s="434"/>
      <c r="KBH1" s="434"/>
      <c r="KBI1" s="434"/>
      <c r="KBJ1" s="434"/>
      <c r="KBK1" s="434"/>
      <c r="KBL1" s="434"/>
      <c r="KBM1" s="434"/>
      <c r="KBN1" s="434"/>
      <c r="KBO1" s="434"/>
      <c r="KBP1" s="434"/>
      <c r="KBQ1" s="434"/>
      <c r="KBR1" s="434"/>
      <c r="KBS1" s="434"/>
      <c r="KBT1" s="434"/>
      <c r="KBU1" s="434"/>
      <c r="KBV1" s="434"/>
      <c r="KBW1" s="434"/>
      <c r="KBX1" s="434"/>
      <c r="KBY1" s="434"/>
      <c r="KBZ1" s="434"/>
      <c r="KCA1" s="434"/>
      <c r="KCB1" s="434"/>
      <c r="KCC1" s="434"/>
      <c r="KCD1" s="434"/>
      <c r="KCE1" s="434"/>
      <c r="KCF1" s="434"/>
      <c r="KCG1" s="434"/>
      <c r="KCH1" s="434"/>
      <c r="KCI1" s="434"/>
      <c r="KCJ1" s="434"/>
      <c r="KCK1" s="434"/>
      <c r="KCL1" s="434"/>
      <c r="KCM1" s="434"/>
      <c r="KCN1" s="434"/>
      <c r="KCO1" s="434"/>
      <c r="KCP1" s="434"/>
      <c r="KCQ1" s="434"/>
      <c r="KCR1" s="434"/>
      <c r="KCS1" s="434"/>
      <c r="KCT1" s="434"/>
      <c r="KCU1" s="434"/>
      <c r="KCV1" s="434"/>
      <c r="KCW1" s="434"/>
      <c r="KCX1" s="434"/>
      <c r="KCY1" s="434"/>
      <c r="KCZ1" s="434"/>
      <c r="KDA1" s="434"/>
      <c r="KDB1" s="434"/>
      <c r="KDC1" s="434"/>
      <c r="KDD1" s="434"/>
      <c r="KDE1" s="434"/>
      <c r="KDF1" s="434"/>
      <c r="KDG1" s="434"/>
      <c r="KDH1" s="434"/>
      <c r="KDI1" s="434"/>
      <c r="KDJ1" s="434"/>
      <c r="KDK1" s="434"/>
      <c r="KDL1" s="434"/>
      <c r="KDM1" s="434"/>
      <c r="KDN1" s="434"/>
      <c r="KDO1" s="434"/>
      <c r="KDP1" s="434"/>
      <c r="KDQ1" s="434"/>
      <c r="KDR1" s="434"/>
      <c r="KDS1" s="434"/>
      <c r="KDT1" s="434"/>
      <c r="KDU1" s="434"/>
      <c r="KDV1" s="434"/>
      <c r="KDW1" s="434"/>
      <c r="KDX1" s="434"/>
      <c r="KDY1" s="434"/>
      <c r="KDZ1" s="434"/>
      <c r="KEA1" s="434"/>
      <c r="KEB1" s="434"/>
      <c r="KEC1" s="434"/>
      <c r="KED1" s="434"/>
      <c r="KEE1" s="434"/>
      <c r="KEF1" s="434"/>
      <c r="KEG1" s="434"/>
      <c r="KEH1" s="434"/>
      <c r="KEI1" s="434"/>
      <c r="KEJ1" s="434"/>
      <c r="KEK1" s="434"/>
      <c r="KEL1" s="434"/>
      <c r="KEM1" s="434"/>
      <c r="KEN1" s="434"/>
      <c r="KEO1" s="434"/>
      <c r="KEP1" s="434"/>
      <c r="KEQ1" s="434"/>
      <c r="KER1" s="434"/>
      <c r="KES1" s="434"/>
      <c r="KET1" s="434"/>
      <c r="KEU1" s="434"/>
      <c r="KEV1" s="434"/>
      <c r="KEW1" s="434"/>
      <c r="KEX1" s="434"/>
      <c r="KEY1" s="434"/>
      <c r="KEZ1" s="434"/>
      <c r="KFA1" s="434"/>
      <c r="KFB1" s="434"/>
      <c r="KFC1" s="434"/>
      <c r="KFD1" s="434"/>
      <c r="KFE1" s="434"/>
      <c r="KFF1" s="434"/>
      <c r="KFG1" s="434"/>
      <c r="KFH1" s="434"/>
      <c r="KFI1" s="434"/>
      <c r="KFJ1" s="434"/>
      <c r="KFK1" s="434"/>
      <c r="KFL1" s="434"/>
      <c r="KFM1" s="434"/>
      <c r="KFN1" s="434"/>
      <c r="KFO1" s="434"/>
      <c r="KFP1" s="434"/>
      <c r="KFQ1" s="434"/>
      <c r="KFR1" s="434"/>
      <c r="KFS1" s="434"/>
      <c r="KFT1" s="434"/>
      <c r="KFU1" s="434"/>
      <c r="KFV1" s="434"/>
      <c r="KFW1" s="434"/>
      <c r="KFX1" s="434"/>
      <c r="KFY1" s="434"/>
      <c r="KFZ1" s="434"/>
      <c r="KGA1" s="434"/>
      <c r="KGB1" s="434"/>
      <c r="KGC1" s="434"/>
      <c r="KGD1" s="434"/>
      <c r="KGE1" s="434"/>
      <c r="KGF1" s="434"/>
      <c r="KGG1" s="434"/>
      <c r="KGH1" s="434"/>
      <c r="KGI1" s="434"/>
      <c r="KGJ1" s="434"/>
      <c r="KGK1" s="434"/>
      <c r="KGL1" s="434"/>
      <c r="KGM1" s="434"/>
      <c r="KGN1" s="434"/>
      <c r="KGO1" s="434"/>
      <c r="KGP1" s="434"/>
      <c r="KGQ1" s="434"/>
      <c r="KGR1" s="434"/>
      <c r="KGS1" s="434"/>
      <c r="KGT1" s="434"/>
      <c r="KGU1" s="434"/>
      <c r="KGV1" s="434"/>
      <c r="KGW1" s="434"/>
      <c r="KGX1" s="434"/>
      <c r="KGY1" s="434"/>
      <c r="KGZ1" s="434"/>
      <c r="KHA1" s="434"/>
      <c r="KHB1" s="434"/>
      <c r="KHC1" s="434"/>
      <c r="KHD1" s="434"/>
      <c r="KHE1" s="434"/>
      <c r="KHF1" s="434"/>
      <c r="KHG1" s="434"/>
      <c r="KHH1" s="434"/>
      <c r="KHI1" s="434"/>
      <c r="KHJ1" s="434"/>
      <c r="KHK1" s="434"/>
      <c r="KHL1" s="434"/>
      <c r="KHM1" s="434"/>
      <c r="KHN1" s="434"/>
      <c r="KHO1" s="434"/>
      <c r="KHP1" s="434"/>
      <c r="KHQ1" s="434"/>
      <c r="KHR1" s="434"/>
      <c r="KHS1" s="434"/>
      <c r="KHT1" s="434"/>
      <c r="KHU1" s="434"/>
      <c r="KHV1" s="434"/>
      <c r="KHW1" s="434"/>
      <c r="KHX1" s="434"/>
      <c r="KHY1" s="434"/>
      <c r="KHZ1" s="434"/>
      <c r="KIA1" s="434"/>
      <c r="KIB1" s="434"/>
      <c r="KIC1" s="434"/>
      <c r="KID1" s="434"/>
      <c r="KIE1" s="434"/>
      <c r="KIF1" s="434"/>
      <c r="KIG1" s="434"/>
      <c r="KIH1" s="434"/>
      <c r="KII1" s="434"/>
      <c r="KIJ1" s="434"/>
      <c r="KIK1" s="434"/>
      <c r="KIL1" s="434"/>
      <c r="KIM1" s="434"/>
      <c r="KIN1" s="434"/>
      <c r="KIO1" s="434"/>
      <c r="KIP1" s="434"/>
      <c r="KIQ1" s="434"/>
      <c r="KIR1" s="434"/>
      <c r="KIS1" s="434"/>
      <c r="KIT1" s="434"/>
      <c r="KIU1" s="434"/>
      <c r="KIV1" s="434"/>
      <c r="KIW1" s="434"/>
      <c r="KIX1" s="434"/>
      <c r="KIY1" s="434"/>
      <c r="KIZ1" s="434"/>
      <c r="KJA1" s="434"/>
      <c r="KJB1" s="434"/>
      <c r="KJC1" s="434"/>
      <c r="KJD1" s="434"/>
      <c r="KJE1" s="434"/>
      <c r="KJF1" s="434"/>
      <c r="KJG1" s="434"/>
      <c r="KJH1" s="434"/>
      <c r="KJI1" s="434"/>
      <c r="KJJ1" s="434"/>
      <c r="KJK1" s="434"/>
      <c r="KJL1" s="434"/>
      <c r="KJM1" s="434"/>
      <c r="KJN1" s="434"/>
      <c r="KJO1" s="434"/>
      <c r="KJP1" s="434"/>
      <c r="KJQ1" s="434"/>
      <c r="KJR1" s="434"/>
      <c r="KJS1" s="434"/>
      <c r="KJT1" s="434"/>
      <c r="KJU1" s="434"/>
      <c r="KJV1" s="434"/>
      <c r="KJW1" s="434"/>
      <c r="KJX1" s="434"/>
      <c r="KJY1" s="434"/>
      <c r="KJZ1" s="434"/>
      <c r="KKA1" s="434"/>
      <c r="KKB1" s="434"/>
      <c r="KKC1" s="434"/>
      <c r="KKD1" s="434"/>
      <c r="KKE1" s="434"/>
      <c r="KKF1" s="434"/>
      <c r="KKG1" s="434"/>
      <c r="KKH1" s="434"/>
      <c r="KKI1" s="434"/>
      <c r="KKJ1" s="434"/>
      <c r="KKK1" s="434"/>
      <c r="KKL1" s="434"/>
      <c r="KKM1" s="434"/>
      <c r="KKN1" s="434"/>
      <c r="KKO1" s="434"/>
      <c r="KKP1" s="434"/>
      <c r="KKQ1" s="434"/>
      <c r="KKR1" s="434"/>
      <c r="KKS1" s="434"/>
      <c r="KKT1" s="434"/>
      <c r="KKU1" s="434"/>
      <c r="KKV1" s="434"/>
      <c r="KKW1" s="434"/>
      <c r="KKX1" s="434"/>
      <c r="KKY1" s="434"/>
      <c r="KKZ1" s="434"/>
      <c r="KLA1" s="434"/>
      <c r="KLB1" s="434"/>
      <c r="KLC1" s="434"/>
      <c r="KLD1" s="434"/>
      <c r="KLE1" s="434"/>
      <c r="KLF1" s="434"/>
      <c r="KLG1" s="434"/>
      <c r="KLH1" s="434"/>
      <c r="KLI1" s="434"/>
      <c r="KLJ1" s="434"/>
      <c r="KLK1" s="434"/>
      <c r="KLL1" s="434"/>
      <c r="KLM1" s="434"/>
      <c r="KLN1" s="434"/>
      <c r="KLO1" s="434"/>
      <c r="KLP1" s="434"/>
      <c r="KLQ1" s="434"/>
      <c r="KLR1" s="434"/>
      <c r="KLS1" s="434"/>
      <c r="KLT1" s="434"/>
      <c r="KLU1" s="434"/>
      <c r="KLV1" s="434"/>
      <c r="KLW1" s="434"/>
      <c r="KLX1" s="434"/>
      <c r="KLY1" s="434"/>
      <c r="KLZ1" s="434"/>
      <c r="KMA1" s="434"/>
      <c r="KMB1" s="434"/>
      <c r="KMC1" s="434"/>
      <c r="KMD1" s="434"/>
      <c r="KME1" s="434"/>
      <c r="KMF1" s="434"/>
      <c r="KMG1" s="434"/>
      <c r="KMH1" s="434"/>
      <c r="KMI1" s="434"/>
      <c r="KMJ1" s="434"/>
      <c r="KMK1" s="434"/>
      <c r="KML1" s="434"/>
      <c r="KMM1" s="434"/>
      <c r="KMN1" s="434"/>
      <c r="KMO1" s="434"/>
      <c r="KMP1" s="434"/>
      <c r="KMQ1" s="434"/>
      <c r="KMR1" s="434"/>
      <c r="KMS1" s="434"/>
      <c r="KMT1" s="434"/>
      <c r="KMU1" s="434"/>
      <c r="KMV1" s="434"/>
      <c r="KMW1" s="434"/>
      <c r="KMX1" s="434"/>
      <c r="KMY1" s="434"/>
      <c r="KMZ1" s="434"/>
      <c r="KNA1" s="434"/>
      <c r="KNB1" s="434"/>
      <c r="KNC1" s="434"/>
      <c r="KND1" s="434"/>
      <c r="KNE1" s="434"/>
      <c r="KNF1" s="434"/>
      <c r="KNG1" s="434"/>
      <c r="KNH1" s="434"/>
      <c r="KNI1" s="434"/>
      <c r="KNJ1" s="434"/>
      <c r="KNK1" s="434"/>
      <c r="KNL1" s="434"/>
      <c r="KNM1" s="434"/>
      <c r="KNN1" s="434"/>
      <c r="KNO1" s="434"/>
      <c r="KNP1" s="434"/>
      <c r="KNQ1" s="434"/>
      <c r="KNR1" s="434"/>
      <c r="KNS1" s="434"/>
      <c r="KNT1" s="434"/>
      <c r="KNU1" s="434"/>
      <c r="KNV1" s="434"/>
      <c r="KNW1" s="434"/>
      <c r="KNX1" s="434"/>
      <c r="KNY1" s="434"/>
      <c r="KNZ1" s="434"/>
      <c r="KOA1" s="434"/>
      <c r="KOB1" s="434"/>
      <c r="KOC1" s="434"/>
      <c r="KOD1" s="434"/>
      <c r="KOE1" s="434"/>
      <c r="KOF1" s="434"/>
      <c r="KOG1" s="434"/>
      <c r="KOH1" s="434"/>
      <c r="KOI1" s="434"/>
      <c r="KOJ1" s="434"/>
      <c r="KOK1" s="434"/>
      <c r="KOL1" s="434"/>
      <c r="KOM1" s="434"/>
      <c r="KON1" s="434"/>
      <c r="KOO1" s="434"/>
      <c r="KOP1" s="434"/>
      <c r="KOQ1" s="434"/>
      <c r="KOR1" s="434"/>
      <c r="KOS1" s="434"/>
      <c r="KOT1" s="434"/>
      <c r="KOU1" s="434"/>
      <c r="KOV1" s="434"/>
      <c r="KOW1" s="434"/>
      <c r="KOX1" s="434"/>
      <c r="KOY1" s="434"/>
      <c r="KOZ1" s="434"/>
      <c r="KPA1" s="434"/>
      <c r="KPB1" s="434"/>
      <c r="KPC1" s="434"/>
      <c r="KPD1" s="434"/>
      <c r="KPE1" s="434"/>
      <c r="KPF1" s="434"/>
      <c r="KPG1" s="434"/>
      <c r="KPH1" s="434"/>
      <c r="KPI1" s="434"/>
      <c r="KPJ1" s="434"/>
      <c r="KPK1" s="434"/>
      <c r="KPL1" s="434"/>
      <c r="KPM1" s="434"/>
      <c r="KPN1" s="434"/>
      <c r="KPO1" s="434"/>
      <c r="KPP1" s="434"/>
      <c r="KPQ1" s="434"/>
      <c r="KPR1" s="434"/>
      <c r="KPS1" s="434"/>
      <c r="KPT1" s="434"/>
      <c r="KPU1" s="434"/>
      <c r="KPV1" s="434"/>
      <c r="KPW1" s="434"/>
      <c r="KPX1" s="434"/>
      <c r="KPY1" s="434"/>
      <c r="KPZ1" s="434"/>
      <c r="KQA1" s="434"/>
      <c r="KQB1" s="434"/>
      <c r="KQC1" s="434"/>
      <c r="KQD1" s="434"/>
      <c r="KQE1" s="434"/>
      <c r="KQF1" s="434"/>
      <c r="KQG1" s="434"/>
      <c r="KQH1" s="434"/>
      <c r="KQI1" s="434"/>
      <c r="KQJ1" s="434"/>
      <c r="KQK1" s="434"/>
      <c r="KQL1" s="434"/>
      <c r="KQM1" s="434"/>
      <c r="KQN1" s="434"/>
      <c r="KQO1" s="434"/>
      <c r="KQP1" s="434"/>
      <c r="KQQ1" s="434"/>
      <c r="KQR1" s="434"/>
      <c r="KQS1" s="434"/>
      <c r="KQT1" s="434"/>
      <c r="KQU1" s="434"/>
      <c r="KQV1" s="434"/>
      <c r="KQW1" s="434"/>
      <c r="KQX1" s="434"/>
      <c r="KQY1" s="434"/>
      <c r="KQZ1" s="434"/>
      <c r="KRA1" s="434"/>
      <c r="KRB1" s="434"/>
      <c r="KRC1" s="434"/>
      <c r="KRD1" s="434"/>
      <c r="KRE1" s="434"/>
      <c r="KRF1" s="434"/>
      <c r="KRG1" s="434"/>
      <c r="KRH1" s="434"/>
      <c r="KRI1" s="434"/>
      <c r="KRJ1" s="434"/>
      <c r="KRK1" s="434"/>
      <c r="KRL1" s="434"/>
      <c r="KRM1" s="434"/>
      <c r="KRN1" s="434"/>
      <c r="KRO1" s="434"/>
      <c r="KRP1" s="434"/>
      <c r="KRQ1" s="434"/>
      <c r="KRR1" s="434"/>
      <c r="KRS1" s="434"/>
      <c r="KRT1" s="434"/>
      <c r="KRU1" s="434"/>
      <c r="KRV1" s="434"/>
      <c r="KRW1" s="434"/>
      <c r="KRX1" s="434"/>
      <c r="KRY1" s="434"/>
      <c r="KRZ1" s="434"/>
      <c r="KSA1" s="434"/>
      <c r="KSB1" s="434"/>
      <c r="KSC1" s="434"/>
      <c r="KSD1" s="434"/>
      <c r="KSE1" s="434"/>
      <c r="KSF1" s="434"/>
      <c r="KSG1" s="434"/>
      <c r="KSH1" s="434"/>
      <c r="KSI1" s="434"/>
      <c r="KSJ1" s="434"/>
      <c r="KSK1" s="434"/>
      <c r="KSL1" s="434"/>
      <c r="KSM1" s="434"/>
      <c r="KSN1" s="434"/>
      <c r="KSO1" s="434"/>
      <c r="KSP1" s="434"/>
      <c r="KSQ1" s="434"/>
      <c r="KSR1" s="434"/>
      <c r="KSS1" s="434"/>
      <c r="KST1" s="434"/>
      <c r="KSU1" s="434"/>
      <c r="KSV1" s="434"/>
      <c r="KSW1" s="434"/>
      <c r="KSX1" s="434"/>
      <c r="KSY1" s="434"/>
      <c r="KSZ1" s="434"/>
      <c r="KTA1" s="434"/>
      <c r="KTB1" s="434"/>
      <c r="KTC1" s="434"/>
      <c r="KTD1" s="434"/>
      <c r="KTE1" s="434"/>
      <c r="KTF1" s="434"/>
      <c r="KTG1" s="434"/>
      <c r="KTH1" s="434"/>
      <c r="KTI1" s="434"/>
      <c r="KTJ1" s="434"/>
      <c r="KTK1" s="434"/>
      <c r="KTL1" s="434"/>
      <c r="KTM1" s="434"/>
      <c r="KTN1" s="434"/>
      <c r="KTO1" s="434"/>
      <c r="KTP1" s="434"/>
      <c r="KTQ1" s="434"/>
      <c r="KTR1" s="434"/>
      <c r="KTS1" s="434"/>
      <c r="KTT1" s="434"/>
      <c r="KTU1" s="434"/>
      <c r="KTV1" s="434"/>
      <c r="KTW1" s="434"/>
      <c r="KTX1" s="434"/>
      <c r="KTY1" s="434"/>
      <c r="KTZ1" s="434"/>
      <c r="KUA1" s="434"/>
      <c r="KUB1" s="434"/>
      <c r="KUC1" s="434"/>
      <c r="KUD1" s="434"/>
      <c r="KUE1" s="434"/>
      <c r="KUF1" s="434"/>
      <c r="KUG1" s="434"/>
      <c r="KUH1" s="434"/>
      <c r="KUI1" s="434"/>
      <c r="KUJ1" s="434"/>
      <c r="KUK1" s="434"/>
      <c r="KUL1" s="434"/>
      <c r="KUM1" s="434"/>
      <c r="KUN1" s="434"/>
      <c r="KUO1" s="434"/>
      <c r="KUP1" s="434"/>
      <c r="KUQ1" s="434"/>
      <c r="KUR1" s="434"/>
      <c r="KUS1" s="434"/>
      <c r="KUT1" s="434"/>
      <c r="KUU1" s="434"/>
      <c r="KUV1" s="434"/>
      <c r="KUW1" s="434"/>
      <c r="KUX1" s="434"/>
      <c r="KUY1" s="434"/>
      <c r="KUZ1" s="434"/>
      <c r="KVA1" s="434"/>
      <c r="KVB1" s="434"/>
      <c r="KVC1" s="434"/>
      <c r="KVD1" s="434"/>
      <c r="KVE1" s="434"/>
      <c r="KVF1" s="434"/>
      <c r="KVG1" s="434"/>
      <c r="KVH1" s="434"/>
      <c r="KVI1" s="434"/>
      <c r="KVJ1" s="434"/>
      <c r="KVK1" s="434"/>
      <c r="KVL1" s="434"/>
      <c r="KVM1" s="434"/>
      <c r="KVN1" s="434"/>
      <c r="KVO1" s="434"/>
      <c r="KVP1" s="434"/>
      <c r="KVQ1" s="434"/>
      <c r="KVR1" s="434"/>
      <c r="KVS1" s="434"/>
      <c r="KVT1" s="434"/>
      <c r="KVU1" s="434"/>
      <c r="KVV1" s="434"/>
      <c r="KVW1" s="434"/>
      <c r="KVX1" s="434"/>
      <c r="KVY1" s="434"/>
      <c r="KVZ1" s="434"/>
      <c r="KWA1" s="434"/>
      <c r="KWB1" s="434"/>
      <c r="KWC1" s="434"/>
      <c r="KWD1" s="434"/>
      <c r="KWE1" s="434"/>
      <c r="KWF1" s="434"/>
      <c r="KWG1" s="434"/>
      <c r="KWH1" s="434"/>
      <c r="KWI1" s="434"/>
      <c r="KWJ1" s="434"/>
      <c r="KWK1" s="434"/>
      <c r="KWL1" s="434"/>
      <c r="KWM1" s="434"/>
      <c r="KWN1" s="434"/>
      <c r="KWO1" s="434"/>
      <c r="KWP1" s="434"/>
      <c r="KWQ1" s="434"/>
      <c r="KWR1" s="434"/>
      <c r="KWS1" s="434"/>
      <c r="KWT1" s="434"/>
      <c r="KWU1" s="434"/>
      <c r="KWV1" s="434"/>
      <c r="KWW1" s="434"/>
      <c r="KWX1" s="434"/>
      <c r="KWY1" s="434"/>
      <c r="KWZ1" s="434"/>
      <c r="KXA1" s="434"/>
      <c r="KXB1" s="434"/>
      <c r="KXC1" s="434"/>
      <c r="KXD1" s="434"/>
      <c r="KXE1" s="434"/>
      <c r="KXF1" s="434"/>
      <c r="KXG1" s="434"/>
      <c r="KXH1" s="434"/>
      <c r="KXI1" s="434"/>
      <c r="KXJ1" s="434"/>
      <c r="KXK1" s="434"/>
      <c r="KXL1" s="434"/>
      <c r="KXM1" s="434"/>
      <c r="KXN1" s="434"/>
      <c r="KXO1" s="434"/>
      <c r="KXP1" s="434"/>
      <c r="KXQ1" s="434"/>
      <c r="KXR1" s="434"/>
      <c r="KXS1" s="434"/>
      <c r="KXT1" s="434"/>
      <c r="KXU1" s="434"/>
      <c r="KXV1" s="434"/>
      <c r="KXW1" s="434"/>
      <c r="KXX1" s="434"/>
      <c r="KXY1" s="434"/>
      <c r="KXZ1" s="434"/>
      <c r="KYA1" s="434"/>
      <c r="KYB1" s="434"/>
      <c r="KYC1" s="434"/>
      <c r="KYD1" s="434"/>
      <c r="KYE1" s="434"/>
      <c r="KYF1" s="434"/>
      <c r="KYG1" s="434"/>
      <c r="KYH1" s="434"/>
      <c r="KYI1" s="434"/>
      <c r="KYJ1" s="434"/>
      <c r="KYK1" s="434"/>
      <c r="KYL1" s="434"/>
      <c r="KYM1" s="434"/>
      <c r="KYN1" s="434"/>
      <c r="KYO1" s="434"/>
      <c r="KYP1" s="434"/>
      <c r="KYQ1" s="434"/>
      <c r="KYR1" s="434"/>
      <c r="KYS1" s="434"/>
      <c r="KYT1" s="434"/>
      <c r="KYU1" s="434"/>
      <c r="KYV1" s="434"/>
      <c r="KYW1" s="434"/>
      <c r="KYX1" s="434"/>
      <c r="KYY1" s="434"/>
      <c r="KYZ1" s="434"/>
      <c r="KZA1" s="434"/>
      <c r="KZB1" s="434"/>
      <c r="KZC1" s="434"/>
      <c r="KZD1" s="434"/>
      <c r="KZE1" s="434"/>
      <c r="KZF1" s="434"/>
      <c r="KZG1" s="434"/>
      <c r="KZH1" s="434"/>
      <c r="KZI1" s="434"/>
      <c r="KZJ1" s="434"/>
      <c r="KZK1" s="434"/>
      <c r="KZL1" s="434"/>
      <c r="KZM1" s="434"/>
      <c r="KZN1" s="434"/>
      <c r="KZO1" s="434"/>
      <c r="KZP1" s="434"/>
      <c r="KZQ1" s="434"/>
      <c r="KZR1" s="434"/>
      <c r="KZS1" s="434"/>
      <c r="KZT1" s="434"/>
      <c r="KZU1" s="434"/>
      <c r="KZV1" s="434"/>
      <c r="KZW1" s="434"/>
      <c r="KZX1" s="434"/>
      <c r="KZY1" s="434"/>
      <c r="KZZ1" s="434"/>
      <c r="LAA1" s="434"/>
      <c r="LAB1" s="434"/>
      <c r="LAC1" s="434"/>
      <c r="LAD1" s="434"/>
      <c r="LAE1" s="434"/>
      <c r="LAF1" s="434"/>
      <c r="LAG1" s="434"/>
      <c r="LAH1" s="434"/>
      <c r="LAI1" s="434"/>
      <c r="LAJ1" s="434"/>
      <c r="LAK1" s="434"/>
      <c r="LAL1" s="434"/>
      <c r="LAM1" s="434"/>
      <c r="LAN1" s="434"/>
      <c r="LAO1" s="434"/>
      <c r="LAP1" s="434"/>
      <c r="LAQ1" s="434"/>
      <c r="LAR1" s="434"/>
      <c r="LAS1" s="434"/>
      <c r="LAT1" s="434"/>
      <c r="LAU1" s="434"/>
      <c r="LAV1" s="434"/>
      <c r="LAW1" s="434"/>
      <c r="LAX1" s="434"/>
      <c r="LAY1" s="434"/>
      <c r="LAZ1" s="434"/>
      <c r="LBA1" s="434"/>
      <c r="LBB1" s="434"/>
      <c r="LBC1" s="434"/>
      <c r="LBD1" s="434"/>
      <c r="LBE1" s="434"/>
      <c r="LBF1" s="434"/>
      <c r="LBG1" s="434"/>
      <c r="LBH1" s="434"/>
      <c r="LBI1" s="434"/>
      <c r="LBJ1" s="434"/>
      <c r="LBK1" s="434"/>
      <c r="LBL1" s="434"/>
      <c r="LBM1" s="434"/>
      <c r="LBN1" s="434"/>
      <c r="LBO1" s="434"/>
      <c r="LBP1" s="434"/>
      <c r="LBQ1" s="434"/>
      <c r="LBR1" s="434"/>
      <c r="LBS1" s="434"/>
      <c r="LBT1" s="434"/>
      <c r="LBU1" s="434"/>
      <c r="LBV1" s="434"/>
      <c r="LBW1" s="434"/>
      <c r="LBX1" s="434"/>
      <c r="LBY1" s="434"/>
      <c r="LBZ1" s="434"/>
      <c r="LCA1" s="434"/>
      <c r="LCB1" s="434"/>
      <c r="LCC1" s="434"/>
      <c r="LCD1" s="434"/>
      <c r="LCE1" s="434"/>
      <c r="LCF1" s="434"/>
      <c r="LCG1" s="434"/>
      <c r="LCH1" s="434"/>
      <c r="LCI1" s="434"/>
      <c r="LCJ1" s="434"/>
      <c r="LCK1" s="434"/>
      <c r="LCL1" s="434"/>
      <c r="LCM1" s="434"/>
      <c r="LCN1" s="434"/>
      <c r="LCO1" s="434"/>
      <c r="LCP1" s="434"/>
      <c r="LCQ1" s="434"/>
      <c r="LCR1" s="434"/>
      <c r="LCS1" s="434"/>
      <c r="LCT1" s="434"/>
      <c r="LCU1" s="434"/>
      <c r="LCV1" s="434"/>
      <c r="LCW1" s="434"/>
      <c r="LCX1" s="434"/>
      <c r="LCY1" s="434"/>
      <c r="LCZ1" s="434"/>
      <c r="LDA1" s="434"/>
      <c r="LDB1" s="434"/>
      <c r="LDC1" s="434"/>
      <c r="LDD1" s="434"/>
      <c r="LDE1" s="434"/>
      <c r="LDF1" s="434"/>
      <c r="LDG1" s="434"/>
      <c r="LDH1" s="434"/>
      <c r="LDI1" s="434"/>
      <c r="LDJ1" s="434"/>
      <c r="LDK1" s="434"/>
      <c r="LDL1" s="434"/>
      <c r="LDM1" s="434"/>
      <c r="LDN1" s="434"/>
      <c r="LDO1" s="434"/>
      <c r="LDP1" s="434"/>
      <c r="LDQ1" s="434"/>
      <c r="LDR1" s="434"/>
      <c r="LDS1" s="434"/>
      <c r="LDT1" s="434"/>
      <c r="LDU1" s="434"/>
      <c r="LDV1" s="434"/>
      <c r="LDW1" s="434"/>
      <c r="LDX1" s="434"/>
      <c r="LDY1" s="434"/>
      <c r="LDZ1" s="434"/>
      <c r="LEA1" s="434"/>
      <c r="LEB1" s="434"/>
      <c r="LEC1" s="434"/>
      <c r="LED1" s="434"/>
      <c r="LEE1" s="434"/>
      <c r="LEF1" s="434"/>
      <c r="LEG1" s="434"/>
      <c r="LEH1" s="434"/>
      <c r="LEI1" s="434"/>
      <c r="LEJ1" s="434"/>
      <c r="LEK1" s="434"/>
      <c r="LEL1" s="434"/>
      <c r="LEM1" s="434"/>
      <c r="LEN1" s="434"/>
      <c r="LEO1" s="434"/>
      <c r="LEP1" s="434"/>
      <c r="LEQ1" s="434"/>
      <c r="LER1" s="434"/>
      <c r="LES1" s="434"/>
      <c r="LET1" s="434"/>
      <c r="LEU1" s="434"/>
      <c r="LEV1" s="434"/>
      <c r="LEW1" s="434"/>
      <c r="LEX1" s="434"/>
      <c r="LEY1" s="434"/>
      <c r="LEZ1" s="434"/>
      <c r="LFA1" s="434"/>
      <c r="LFB1" s="434"/>
      <c r="LFC1" s="434"/>
      <c r="LFD1" s="434"/>
      <c r="LFE1" s="434"/>
      <c r="LFF1" s="434"/>
      <c r="LFG1" s="434"/>
      <c r="LFH1" s="434"/>
      <c r="LFI1" s="434"/>
      <c r="LFJ1" s="434"/>
      <c r="LFK1" s="434"/>
      <c r="LFL1" s="434"/>
      <c r="LFM1" s="434"/>
      <c r="LFN1" s="434"/>
      <c r="LFO1" s="434"/>
      <c r="LFP1" s="434"/>
      <c r="LFQ1" s="434"/>
      <c r="LFR1" s="434"/>
      <c r="LFS1" s="434"/>
      <c r="LFT1" s="434"/>
      <c r="LFU1" s="434"/>
      <c r="LFV1" s="434"/>
      <c r="LFW1" s="434"/>
      <c r="LFX1" s="434"/>
      <c r="LFY1" s="434"/>
      <c r="LFZ1" s="434"/>
      <c r="LGA1" s="434"/>
      <c r="LGB1" s="434"/>
      <c r="LGC1" s="434"/>
      <c r="LGD1" s="434"/>
      <c r="LGE1" s="434"/>
      <c r="LGF1" s="434"/>
      <c r="LGG1" s="434"/>
      <c r="LGH1" s="434"/>
      <c r="LGI1" s="434"/>
      <c r="LGJ1" s="434"/>
      <c r="LGK1" s="434"/>
      <c r="LGL1" s="434"/>
      <c r="LGM1" s="434"/>
      <c r="LGN1" s="434"/>
      <c r="LGO1" s="434"/>
      <c r="LGP1" s="434"/>
      <c r="LGQ1" s="434"/>
      <c r="LGR1" s="434"/>
      <c r="LGS1" s="434"/>
      <c r="LGT1" s="434"/>
      <c r="LGU1" s="434"/>
      <c r="LGV1" s="434"/>
      <c r="LGW1" s="434"/>
      <c r="LGX1" s="434"/>
      <c r="LGY1" s="434"/>
      <c r="LGZ1" s="434"/>
      <c r="LHA1" s="434"/>
      <c r="LHB1" s="434"/>
      <c r="LHC1" s="434"/>
      <c r="LHD1" s="434"/>
      <c r="LHE1" s="434"/>
      <c r="LHF1" s="434"/>
      <c r="LHG1" s="434"/>
      <c r="LHH1" s="434"/>
      <c r="LHI1" s="434"/>
      <c r="LHJ1" s="434"/>
      <c r="LHK1" s="434"/>
      <c r="LHL1" s="434"/>
      <c r="LHM1" s="434"/>
      <c r="LHN1" s="434"/>
      <c r="LHO1" s="434"/>
      <c r="LHP1" s="434"/>
      <c r="LHQ1" s="434"/>
      <c r="LHR1" s="434"/>
      <c r="LHS1" s="434"/>
      <c r="LHT1" s="434"/>
      <c r="LHU1" s="434"/>
      <c r="LHV1" s="434"/>
      <c r="LHW1" s="434"/>
      <c r="LHX1" s="434"/>
      <c r="LHY1" s="434"/>
      <c r="LHZ1" s="434"/>
      <c r="LIA1" s="434"/>
      <c r="LIB1" s="434"/>
      <c r="LIC1" s="434"/>
      <c r="LID1" s="434"/>
      <c r="LIE1" s="434"/>
      <c r="LIF1" s="434"/>
      <c r="LIG1" s="434"/>
      <c r="LIH1" s="434"/>
      <c r="LII1" s="434"/>
      <c r="LIJ1" s="434"/>
      <c r="LIK1" s="434"/>
      <c r="LIL1" s="434"/>
      <c r="LIM1" s="434"/>
      <c r="LIN1" s="434"/>
      <c r="LIO1" s="434"/>
      <c r="LIP1" s="434"/>
      <c r="LIQ1" s="434"/>
      <c r="LIR1" s="434"/>
      <c r="LIS1" s="434"/>
      <c r="LIT1" s="434"/>
      <c r="LIU1" s="434"/>
      <c r="LIV1" s="434"/>
      <c r="LIW1" s="434"/>
      <c r="LIX1" s="434"/>
      <c r="LIY1" s="434"/>
      <c r="LIZ1" s="434"/>
      <c r="LJA1" s="434"/>
      <c r="LJB1" s="434"/>
      <c r="LJC1" s="434"/>
      <c r="LJD1" s="434"/>
      <c r="LJE1" s="434"/>
      <c r="LJF1" s="434"/>
      <c r="LJG1" s="434"/>
      <c r="LJH1" s="434"/>
      <c r="LJI1" s="434"/>
      <c r="LJJ1" s="434"/>
      <c r="LJK1" s="434"/>
      <c r="LJL1" s="434"/>
      <c r="LJM1" s="434"/>
      <c r="LJN1" s="434"/>
      <c r="LJO1" s="434"/>
      <c r="LJP1" s="434"/>
      <c r="LJQ1" s="434"/>
      <c r="LJR1" s="434"/>
      <c r="LJS1" s="434"/>
      <c r="LJT1" s="434"/>
      <c r="LJU1" s="434"/>
      <c r="LJV1" s="434"/>
      <c r="LJW1" s="434"/>
      <c r="LJX1" s="434"/>
      <c r="LJY1" s="434"/>
      <c r="LJZ1" s="434"/>
      <c r="LKA1" s="434"/>
      <c r="LKB1" s="434"/>
      <c r="LKC1" s="434"/>
      <c r="LKD1" s="434"/>
      <c r="LKE1" s="434"/>
      <c r="LKF1" s="434"/>
      <c r="LKG1" s="434"/>
      <c r="LKH1" s="434"/>
      <c r="LKI1" s="434"/>
      <c r="LKJ1" s="434"/>
      <c r="LKK1" s="434"/>
      <c r="LKL1" s="434"/>
      <c r="LKM1" s="434"/>
      <c r="LKN1" s="434"/>
      <c r="LKO1" s="434"/>
      <c r="LKP1" s="434"/>
      <c r="LKQ1" s="434"/>
      <c r="LKR1" s="434"/>
      <c r="LKS1" s="434"/>
      <c r="LKT1" s="434"/>
      <c r="LKU1" s="434"/>
      <c r="LKV1" s="434"/>
      <c r="LKW1" s="434"/>
      <c r="LKX1" s="434"/>
      <c r="LKY1" s="434"/>
      <c r="LKZ1" s="434"/>
      <c r="LLA1" s="434"/>
      <c r="LLB1" s="434"/>
      <c r="LLC1" s="434"/>
      <c r="LLD1" s="434"/>
      <c r="LLE1" s="434"/>
      <c r="LLF1" s="434"/>
      <c r="LLG1" s="434"/>
      <c r="LLH1" s="434"/>
      <c r="LLI1" s="434"/>
      <c r="LLJ1" s="434"/>
      <c r="LLK1" s="434"/>
      <c r="LLL1" s="434"/>
      <c r="LLM1" s="434"/>
      <c r="LLN1" s="434"/>
      <c r="LLO1" s="434"/>
      <c r="LLP1" s="434"/>
      <c r="LLQ1" s="434"/>
      <c r="LLR1" s="434"/>
      <c r="LLS1" s="434"/>
      <c r="LLT1" s="434"/>
      <c r="LLU1" s="434"/>
      <c r="LLV1" s="434"/>
      <c r="LLW1" s="434"/>
      <c r="LLX1" s="434"/>
      <c r="LLY1" s="434"/>
      <c r="LLZ1" s="434"/>
      <c r="LMA1" s="434"/>
      <c r="LMB1" s="434"/>
      <c r="LMC1" s="434"/>
      <c r="LMD1" s="434"/>
      <c r="LME1" s="434"/>
      <c r="LMF1" s="434"/>
      <c r="LMG1" s="434"/>
      <c r="LMH1" s="434"/>
      <c r="LMI1" s="434"/>
      <c r="LMJ1" s="434"/>
      <c r="LMK1" s="434"/>
      <c r="LML1" s="434"/>
      <c r="LMM1" s="434"/>
      <c r="LMN1" s="434"/>
      <c r="LMO1" s="434"/>
      <c r="LMP1" s="434"/>
      <c r="LMQ1" s="434"/>
      <c r="LMR1" s="434"/>
      <c r="LMS1" s="434"/>
      <c r="LMT1" s="434"/>
      <c r="LMU1" s="434"/>
      <c r="LMV1" s="434"/>
      <c r="LMW1" s="434"/>
      <c r="LMX1" s="434"/>
      <c r="LMY1" s="434"/>
      <c r="LMZ1" s="434"/>
      <c r="LNA1" s="434"/>
      <c r="LNB1" s="434"/>
      <c r="LNC1" s="434"/>
      <c r="LND1" s="434"/>
      <c r="LNE1" s="434"/>
      <c r="LNF1" s="434"/>
      <c r="LNG1" s="434"/>
      <c r="LNH1" s="434"/>
      <c r="LNI1" s="434"/>
      <c r="LNJ1" s="434"/>
      <c r="LNK1" s="434"/>
      <c r="LNL1" s="434"/>
      <c r="LNM1" s="434"/>
      <c r="LNN1" s="434"/>
      <c r="LNO1" s="434"/>
      <c r="LNP1" s="434"/>
      <c r="LNQ1" s="434"/>
      <c r="LNR1" s="434"/>
      <c r="LNS1" s="434"/>
      <c r="LNT1" s="434"/>
      <c r="LNU1" s="434"/>
      <c r="LNV1" s="434"/>
      <c r="LNW1" s="434"/>
      <c r="LNX1" s="434"/>
      <c r="LNY1" s="434"/>
      <c r="LNZ1" s="434"/>
      <c r="LOA1" s="434"/>
      <c r="LOB1" s="434"/>
      <c r="LOC1" s="434"/>
      <c r="LOD1" s="434"/>
      <c r="LOE1" s="434"/>
      <c r="LOF1" s="434"/>
      <c r="LOG1" s="434"/>
      <c r="LOH1" s="434"/>
      <c r="LOI1" s="434"/>
      <c r="LOJ1" s="434"/>
      <c r="LOK1" s="434"/>
      <c r="LOL1" s="434"/>
      <c r="LOM1" s="434"/>
      <c r="LON1" s="434"/>
      <c r="LOO1" s="434"/>
      <c r="LOP1" s="434"/>
      <c r="LOQ1" s="434"/>
      <c r="LOR1" s="434"/>
      <c r="LOS1" s="434"/>
      <c r="LOT1" s="434"/>
      <c r="LOU1" s="434"/>
      <c r="LOV1" s="434"/>
      <c r="LOW1" s="434"/>
      <c r="LOX1" s="434"/>
      <c r="LOY1" s="434"/>
      <c r="LOZ1" s="434"/>
      <c r="LPA1" s="434"/>
      <c r="LPB1" s="434"/>
      <c r="LPC1" s="434"/>
      <c r="LPD1" s="434"/>
      <c r="LPE1" s="434"/>
      <c r="LPF1" s="434"/>
      <c r="LPG1" s="434"/>
      <c r="LPH1" s="434"/>
      <c r="LPI1" s="434"/>
      <c r="LPJ1" s="434"/>
      <c r="LPK1" s="434"/>
      <c r="LPL1" s="434"/>
      <c r="LPM1" s="434"/>
      <c r="LPN1" s="434"/>
      <c r="LPO1" s="434"/>
      <c r="LPP1" s="434"/>
      <c r="LPQ1" s="434"/>
      <c r="LPR1" s="434"/>
      <c r="LPS1" s="434"/>
      <c r="LPT1" s="434"/>
      <c r="LPU1" s="434"/>
      <c r="LPV1" s="434"/>
      <c r="LPW1" s="434"/>
      <c r="LPX1" s="434"/>
      <c r="LPY1" s="434"/>
      <c r="LPZ1" s="434"/>
      <c r="LQA1" s="434"/>
      <c r="LQB1" s="434"/>
      <c r="LQC1" s="434"/>
      <c r="LQD1" s="434"/>
      <c r="LQE1" s="434"/>
      <c r="LQF1" s="434"/>
      <c r="LQG1" s="434"/>
      <c r="LQH1" s="434"/>
      <c r="LQI1" s="434"/>
      <c r="LQJ1" s="434"/>
      <c r="LQK1" s="434"/>
      <c r="LQL1" s="434"/>
      <c r="LQM1" s="434"/>
      <c r="LQN1" s="434"/>
      <c r="LQO1" s="434"/>
      <c r="LQP1" s="434"/>
      <c r="LQQ1" s="434"/>
      <c r="LQR1" s="434"/>
      <c r="LQS1" s="434"/>
      <c r="LQT1" s="434"/>
      <c r="LQU1" s="434"/>
      <c r="LQV1" s="434"/>
      <c r="LQW1" s="434"/>
      <c r="LQX1" s="434"/>
      <c r="LQY1" s="434"/>
      <c r="LQZ1" s="434"/>
      <c r="LRA1" s="434"/>
      <c r="LRB1" s="434"/>
      <c r="LRC1" s="434"/>
      <c r="LRD1" s="434"/>
      <c r="LRE1" s="434"/>
      <c r="LRF1" s="434"/>
      <c r="LRG1" s="434"/>
      <c r="LRH1" s="434"/>
      <c r="LRI1" s="434"/>
      <c r="LRJ1" s="434"/>
      <c r="LRK1" s="434"/>
      <c r="LRL1" s="434"/>
      <c r="LRM1" s="434"/>
      <c r="LRN1" s="434"/>
      <c r="LRO1" s="434"/>
      <c r="LRP1" s="434"/>
      <c r="LRQ1" s="434"/>
      <c r="LRR1" s="434"/>
      <c r="LRS1" s="434"/>
      <c r="LRT1" s="434"/>
      <c r="LRU1" s="434"/>
      <c r="LRV1" s="434"/>
      <c r="LRW1" s="434"/>
      <c r="LRX1" s="434"/>
      <c r="LRY1" s="434"/>
      <c r="LRZ1" s="434"/>
      <c r="LSA1" s="434"/>
      <c r="LSB1" s="434"/>
      <c r="LSC1" s="434"/>
      <c r="LSD1" s="434"/>
      <c r="LSE1" s="434"/>
      <c r="LSF1" s="434"/>
      <c r="LSG1" s="434"/>
      <c r="LSH1" s="434"/>
      <c r="LSI1" s="434"/>
      <c r="LSJ1" s="434"/>
      <c r="LSK1" s="434"/>
      <c r="LSL1" s="434"/>
      <c r="LSM1" s="434"/>
      <c r="LSN1" s="434"/>
      <c r="LSO1" s="434"/>
      <c r="LSP1" s="434"/>
      <c r="LSQ1" s="434"/>
      <c r="LSR1" s="434"/>
      <c r="LSS1" s="434"/>
      <c r="LST1" s="434"/>
      <c r="LSU1" s="434"/>
      <c r="LSV1" s="434"/>
      <c r="LSW1" s="434"/>
      <c r="LSX1" s="434"/>
      <c r="LSY1" s="434"/>
      <c r="LSZ1" s="434"/>
      <c r="LTA1" s="434"/>
      <c r="LTB1" s="434"/>
      <c r="LTC1" s="434"/>
      <c r="LTD1" s="434"/>
      <c r="LTE1" s="434"/>
      <c r="LTF1" s="434"/>
      <c r="LTG1" s="434"/>
      <c r="LTH1" s="434"/>
      <c r="LTI1" s="434"/>
      <c r="LTJ1" s="434"/>
      <c r="LTK1" s="434"/>
      <c r="LTL1" s="434"/>
      <c r="LTM1" s="434"/>
      <c r="LTN1" s="434"/>
      <c r="LTO1" s="434"/>
      <c r="LTP1" s="434"/>
      <c r="LTQ1" s="434"/>
      <c r="LTR1" s="434"/>
      <c r="LTS1" s="434"/>
      <c r="LTT1" s="434"/>
      <c r="LTU1" s="434"/>
      <c r="LTV1" s="434"/>
      <c r="LTW1" s="434"/>
      <c r="LTX1" s="434"/>
      <c r="LTY1" s="434"/>
      <c r="LTZ1" s="434"/>
      <c r="LUA1" s="434"/>
      <c r="LUB1" s="434"/>
      <c r="LUC1" s="434"/>
      <c r="LUD1" s="434"/>
      <c r="LUE1" s="434"/>
      <c r="LUF1" s="434"/>
      <c r="LUG1" s="434"/>
      <c r="LUH1" s="434"/>
      <c r="LUI1" s="434"/>
      <c r="LUJ1" s="434"/>
      <c r="LUK1" s="434"/>
      <c r="LUL1" s="434"/>
      <c r="LUM1" s="434"/>
      <c r="LUN1" s="434"/>
      <c r="LUO1" s="434"/>
      <c r="LUP1" s="434"/>
      <c r="LUQ1" s="434"/>
      <c r="LUR1" s="434"/>
      <c r="LUS1" s="434"/>
      <c r="LUT1" s="434"/>
      <c r="LUU1" s="434"/>
      <c r="LUV1" s="434"/>
      <c r="LUW1" s="434"/>
      <c r="LUX1" s="434"/>
      <c r="LUY1" s="434"/>
      <c r="LUZ1" s="434"/>
      <c r="LVA1" s="434"/>
      <c r="LVB1" s="434"/>
      <c r="LVC1" s="434"/>
      <c r="LVD1" s="434"/>
      <c r="LVE1" s="434"/>
      <c r="LVF1" s="434"/>
      <c r="LVG1" s="434"/>
      <c r="LVH1" s="434"/>
      <c r="LVI1" s="434"/>
      <c r="LVJ1" s="434"/>
      <c r="LVK1" s="434"/>
      <c r="LVL1" s="434"/>
      <c r="LVM1" s="434"/>
      <c r="LVN1" s="434"/>
      <c r="LVO1" s="434"/>
      <c r="LVP1" s="434"/>
      <c r="LVQ1" s="434"/>
      <c r="LVR1" s="434"/>
      <c r="LVS1" s="434"/>
      <c r="LVT1" s="434"/>
      <c r="LVU1" s="434"/>
      <c r="LVV1" s="434"/>
      <c r="LVW1" s="434"/>
      <c r="LVX1" s="434"/>
      <c r="LVY1" s="434"/>
      <c r="LVZ1" s="434"/>
      <c r="LWA1" s="434"/>
      <c r="LWB1" s="434"/>
      <c r="LWC1" s="434"/>
      <c r="LWD1" s="434"/>
      <c r="LWE1" s="434"/>
      <c r="LWF1" s="434"/>
      <c r="LWG1" s="434"/>
      <c r="LWH1" s="434"/>
      <c r="LWI1" s="434"/>
      <c r="LWJ1" s="434"/>
      <c r="LWK1" s="434"/>
      <c r="LWL1" s="434"/>
      <c r="LWM1" s="434"/>
      <c r="LWN1" s="434"/>
      <c r="LWO1" s="434"/>
      <c r="LWP1" s="434"/>
      <c r="LWQ1" s="434"/>
      <c r="LWR1" s="434"/>
      <c r="LWS1" s="434"/>
      <c r="LWT1" s="434"/>
      <c r="LWU1" s="434"/>
      <c r="LWV1" s="434"/>
      <c r="LWW1" s="434"/>
      <c r="LWX1" s="434"/>
      <c r="LWY1" s="434"/>
      <c r="LWZ1" s="434"/>
      <c r="LXA1" s="434"/>
      <c r="LXB1" s="434"/>
      <c r="LXC1" s="434"/>
      <c r="LXD1" s="434"/>
      <c r="LXE1" s="434"/>
      <c r="LXF1" s="434"/>
      <c r="LXG1" s="434"/>
      <c r="LXH1" s="434"/>
      <c r="LXI1" s="434"/>
      <c r="LXJ1" s="434"/>
      <c r="LXK1" s="434"/>
      <c r="LXL1" s="434"/>
      <c r="LXM1" s="434"/>
      <c r="LXN1" s="434"/>
      <c r="LXO1" s="434"/>
      <c r="LXP1" s="434"/>
      <c r="LXQ1" s="434"/>
      <c r="LXR1" s="434"/>
      <c r="LXS1" s="434"/>
      <c r="LXT1" s="434"/>
      <c r="LXU1" s="434"/>
      <c r="LXV1" s="434"/>
      <c r="LXW1" s="434"/>
      <c r="LXX1" s="434"/>
      <c r="LXY1" s="434"/>
      <c r="LXZ1" s="434"/>
      <c r="LYA1" s="434"/>
      <c r="LYB1" s="434"/>
      <c r="LYC1" s="434"/>
      <c r="LYD1" s="434"/>
      <c r="LYE1" s="434"/>
      <c r="LYF1" s="434"/>
      <c r="LYG1" s="434"/>
      <c r="LYH1" s="434"/>
      <c r="LYI1" s="434"/>
      <c r="LYJ1" s="434"/>
      <c r="LYK1" s="434"/>
      <c r="LYL1" s="434"/>
      <c r="LYM1" s="434"/>
      <c r="LYN1" s="434"/>
      <c r="LYO1" s="434"/>
      <c r="LYP1" s="434"/>
      <c r="LYQ1" s="434"/>
      <c r="LYR1" s="434"/>
      <c r="LYS1" s="434"/>
      <c r="LYT1" s="434"/>
      <c r="LYU1" s="434"/>
      <c r="LYV1" s="434"/>
      <c r="LYW1" s="434"/>
      <c r="LYX1" s="434"/>
      <c r="LYY1" s="434"/>
      <c r="LYZ1" s="434"/>
      <c r="LZA1" s="434"/>
      <c r="LZB1" s="434"/>
      <c r="LZC1" s="434"/>
      <c r="LZD1" s="434"/>
      <c r="LZE1" s="434"/>
      <c r="LZF1" s="434"/>
      <c r="LZG1" s="434"/>
      <c r="LZH1" s="434"/>
      <c r="LZI1" s="434"/>
      <c r="LZJ1" s="434"/>
      <c r="LZK1" s="434"/>
      <c r="LZL1" s="434"/>
      <c r="LZM1" s="434"/>
      <c r="LZN1" s="434"/>
      <c r="LZO1" s="434"/>
      <c r="LZP1" s="434"/>
      <c r="LZQ1" s="434"/>
      <c r="LZR1" s="434"/>
      <c r="LZS1" s="434"/>
      <c r="LZT1" s="434"/>
      <c r="LZU1" s="434"/>
      <c r="LZV1" s="434"/>
      <c r="LZW1" s="434"/>
      <c r="LZX1" s="434"/>
      <c r="LZY1" s="434"/>
      <c r="LZZ1" s="434"/>
      <c r="MAA1" s="434"/>
      <c r="MAB1" s="434"/>
      <c r="MAC1" s="434"/>
      <c r="MAD1" s="434"/>
      <c r="MAE1" s="434"/>
      <c r="MAF1" s="434"/>
      <c r="MAG1" s="434"/>
      <c r="MAH1" s="434"/>
      <c r="MAI1" s="434"/>
      <c r="MAJ1" s="434"/>
      <c r="MAK1" s="434"/>
      <c r="MAL1" s="434"/>
      <c r="MAM1" s="434"/>
      <c r="MAN1" s="434"/>
      <c r="MAO1" s="434"/>
      <c r="MAP1" s="434"/>
      <c r="MAQ1" s="434"/>
      <c r="MAR1" s="434"/>
      <c r="MAS1" s="434"/>
      <c r="MAT1" s="434"/>
      <c r="MAU1" s="434"/>
      <c r="MAV1" s="434"/>
      <c r="MAW1" s="434"/>
      <c r="MAX1" s="434"/>
      <c r="MAY1" s="434"/>
      <c r="MAZ1" s="434"/>
      <c r="MBA1" s="434"/>
      <c r="MBB1" s="434"/>
      <c r="MBC1" s="434"/>
      <c r="MBD1" s="434"/>
      <c r="MBE1" s="434"/>
      <c r="MBF1" s="434"/>
      <c r="MBG1" s="434"/>
      <c r="MBH1" s="434"/>
      <c r="MBI1" s="434"/>
      <c r="MBJ1" s="434"/>
      <c r="MBK1" s="434"/>
      <c r="MBL1" s="434"/>
      <c r="MBM1" s="434"/>
      <c r="MBN1" s="434"/>
      <c r="MBO1" s="434"/>
      <c r="MBP1" s="434"/>
      <c r="MBQ1" s="434"/>
      <c r="MBR1" s="434"/>
      <c r="MBS1" s="434"/>
      <c r="MBT1" s="434"/>
      <c r="MBU1" s="434"/>
      <c r="MBV1" s="434"/>
      <c r="MBW1" s="434"/>
      <c r="MBX1" s="434"/>
      <c r="MBY1" s="434"/>
      <c r="MBZ1" s="434"/>
      <c r="MCA1" s="434"/>
      <c r="MCB1" s="434"/>
      <c r="MCC1" s="434"/>
      <c r="MCD1" s="434"/>
      <c r="MCE1" s="434"/>
      <c r="MCF1" s="434"/>
      <c r="MCG1" s="434"/>
      <c r="MCH1" s="434"/>
      <c r="MCI1" s="434"/>
      <c r="MCJ1" s="434"/>
      <c r="MCK1" s="434"/>
      <c r="MCL1" s="434"/>
      <c r="MCM1" s="434"/>
      <c r="MCN1" s="434"/>
      <c r="MCO1" s="434"/>
      <c r="MCP1" s="434"/>
      <c r="MCQ1" s="434"/>
      <c r="MCR1" s="434"/>
      <c r="MCS1" s="434"/>
      <c r="MCT1" s="434"/>
      <c r="MCU1" s="434"/>
      <c r="MCV1" s="434"/>
      <c r="MCW1" s="434"/>
      <c r="MCX1" s="434"/>
      <c r="MCY1" s="434"/>
      <c r="MCZ1" s="434"/>
      <c r="MDA1" s="434"/>
      <c r="MDB1" s="434"/>
      <c r="MDC1" s="434"/>
      <c r="MDD1" s="434"/>
      <c r="MDE1" s="434"/>
      <c r="MDF1" s="434"/>
      <c r="MDG1" s="434"/>
      <c r="MDH1" s="434"/>
      <c r="MDI1" s="434"/>
      <c r="MDJ1" s="434"/>
      <c r="MDK1" s="434"/>
      <c r="MDL1" s="434"/>
      <c r="MDM1" s="434"/>
      <c r="MDN1" s="434"/>
      <c r="MDO1" s="434"/>
      <c r="MDP1" s="434"/>
      <c r="MDQ1" s="434"/>
      <c r="MDR1" s="434"/>
      <c r="MDS1" s="434"/>
      <c r="MDT1" s="434"/>
      <c r="MDU1" s="434"/>
      <c r="MDV1" s="434"/>
      <c r="MDW1" s="434"/>
      <c r="MDX1" s="434"/>
      <c r="MDY1" s="434"/>
      <c r="MDZ1" s="434"/>
      <c r="MEA1" s="434"/>
      <c r="MEB1" s="434"/>
      <c r="MEC1" s="434"/>
      <c r="MED1" s="434"/>
      <c r="MEE1" s="434"/>
      <c r="MEF1" s="434"/>
      <c r="MEG1" s="434"/>
      <c r="MEH1" s="434"/>
      <c r="MEI1" s="434"/>
      <c r="MEJ1" s="434"/>
      <c r="MEK1" s="434"/>
      <c r="MEL1" s="434"/>
      <c r="MEM1" s="434"/>
      <c r="MEN1" s="434"/>
      <c r="MEO1" s="434"/>
      <c r="MEP1" s="434"/>
      <c r="MEQ1" s="434"/>
      <c r="MER1" s="434"/>
      <c r="MES1" s="434"/>
      <c r="MET1" s="434"/>
      <c r="MEU1" s="434"/>
      <c r="MEV1" s="434"/>
      <c r="MEW1" s="434"/>
      <c r="MEX1" s="434"/>
      <c r="MEY1" s="434"/>
      <c r="MEZ1" s="434"/>
      <c r="MFA1" s="434"/>
      <c r="MFB1" s="434"/>
      <c r="MFC1" s="434"/>
      <c r="MFD1" s="434"/>
      <c r="MFE1" s="434"/>
      <c r="MFF1" s="434"/>
      <c r="MFG1" s="434"/>
      <c r="MFH1" s="434"/>
      <c r="MFI1" s="434"/>
      <c r="MFJ1" s="434"/>
      <c r="MFK1" s="434"/>
      <c r="MFL1" s="434"/>
      <c r="MFM1" s="434"/>
      <c r="MFN1" s="434"/>
      <c r="MFO1" s="434"/>
      <c r="MFP1" s="434"/>
      <c r="MFQ1" s="434"/>
      <c r="MFR1" s="434"/>
      <c r="MFS1" s="434"/>
      <c r="MFT1" s="434"/>
      <c r="MFU1" s="434"/>
      <c r="MFV1" s="434"/>
      <c r="MFW1" s="434"/>
      <c r="MFX1" s="434"/>
      <c r="MFY1" s="434"/>
      <c r="MFZ1" s="434"/>
      <c r="MGA1" s="434"/>
      <c r="MGB1" s="434"/>
      <c r="MGC1" s="434"/>
      <c r="MGD1" s="434"/>
      <c r="MGE1" s="434"/>
      <c r="MGF1" s="434"/>
      <c r="MGG1" s="434"/>
      <c r="MGH1" s="434"/>
      <c r="MGI1" s="434"/>
      <c r="MGJ1" s="434"/>
      <c r="MGK1" s="434"/>
      <c r="MGL1" s="434"/>
      <c r="MGM1" s="434"/>
      <c r="MGN1" s="434"/>
      <c r="MGO1" s="434"/>
      <c r="MGP1" s="434"/>
      <c r="MGQ1" s="434"/>
      <c r="MGR1" s="434"/>
      <c r="MGS1" s="434"/>
      <c r="MGT1" s="434"/>
      <c r="MGU1" s="434"/>
      <c r="MGV1" s="434"/>
      <c r="MGW1" s="434"/>
      <c r="MGX1" s="434"/>
      <c r="MGY1" s="434"/>
      <c r="MGZ1" s="434"/>
      <c r="MHA1" s="434"/>
      <c r="MHB1" s="434"/>
      <c r="MHC1" s="434"/>
      <c r="MHD1" s="434"/>
      <c r="MHE1" s="434"/>
      <c r="MHF1" s="434"/>
      <c r="MHG1" s="434"/>
      <c r="MHH1" s="434"/>
      <c r="MHI1" s="434"/>
      <c r="MHJ1" s="434"/>
      <c r="MHK1" s="434"/>
      <c r="MHL1" s="434"/>
      <c r="MHM1" s="434"/>
      <c r="MHN1" s="434"/>
      <c r="MHO1" s="434"/>
      <c r="MHP1" s="434"/>
      <c r="MHQ1" s="434"/>
      <c r="MHR1" s="434"/>
      <c r="MHS1" s="434"/>
      <c r="MHT1" s="434"/>
      <c r="MHU1" s="434"/>
      <c r="MHV1" s="434"/>
      <c r="MHW1" s="434"/>
      <c r="MHX1" s="434"/>
      <c r="MHY1" s="434"/>
      <c r="MHZ1" s="434"/>
      <c r="MIA1" s="434"/>
      <c r="MIB1" s="434"/>
      <c r="MIC1" s="434"/>
      <c r="MID1" s="434"/>
      <c r="MIE1" s="434"/>
      <c r="MIF1" s="434"/>
      <c r="MIG1" s="434"/>
      <c r="MIH1" s="434"/>
      <c r="MII1" s="434"/>
      <c r="MIJ1" s="434"/>
      <c r="MIK1" s="434"/>
      <c r="MIL1" s="434"/>
      <c r="MIM1" s="434"/>
      <c r="MIN1" s="434"/>
      <c r="MIO1" s="434"/>
      <c r="MIP1" s="434"/>
      <c r="MIQ1" s="434"/>
      <c r="MIR1" s="434"/>
      <c r="MIS1" s="434"/>
      <c r="MIT1" s="434"/>
      <c r="MIU1" s="434"/>
      <c r="MIV1" s="434"/>
      <c r="MIW1" s="434"/>
      <c r="MIX1" s="434"/>
      <c r="MIY1" s="434"/>
      <c r="MIZ1" s="434"/>
      <c r="MJA1" s="434"/>
      <c r="MJB1" s="434"/>
      <c r="MJC1" s="434"/>
      <c r="MJD1" s="434"/>
      <c r="MJE1" s="434"/>
      <c r="MJF1" s="434"/>
      <c r="MJG1" s="434"/>
      <c r="MJH1" s="434"/>
      <c r="MJI1" s="434"/>
      <c r="MJJ1" s="434"/>
      <c r="MJK1" s="434"/>
      <c r="MJL1" s="434"/>
      <c r="MJM1" s="434"/>
      <c r="MJN1" s="434"/>
      <c r="MJO1" s="434"/>
      <c r="MJP1" s="434"/>
      <c r="MJQ1" s="434"/>
      <c r="MJR1" s="434"/>
      <c r="MJS1" s="434"/>
      <c r="MJT1" s="434"/>
      <c r="MJU1" s="434"/>
      <c r="MJV1" s="434"/>
      <c r="MJW1" s="434"/>
      <c r="MJX1" s="434"/>
      <c r="MJY1" s="434"/>
      <c r="MJZ1" s="434"/>
      <c r="MKA1" s="434"/>
      <c r="MKB1" s="434"/>
      <c r="MKC1" s="434"/>
      <c r="MKD1" s="434"/>
      <c r="MKE1" s="434"/>
      <c r="MKF1" s="434"/>
      <c r="MKG1" s="434"/>
      <c r="MKH1" s="434"/>
      <c r="MKI1" s="434"/>
      <c r="MKJ1" s="434"/>
      <c r="MKK1" s="434"/>
      <c r="MKL1" s="434"/>
      <c r="MKM1" s="434"/>
      <c r="MKN1" s="434"/>
      <c r="MKO1" s="434"/>
      <c r="MKP1" s="434"/>
      <c r="MKQ1" s="434"/>
      <c r="MKR1" s="434"/>
      <c r="MKS1" s="434"/>
      <c r="MKT1" s="434"/>
      <c r="MKU1" s="434"/>
      <c r="MKV1" s="434"/>
      <c r="MKW1" s="434"/>
      <c r="MKX1" s="434"/>
      <c r="MKY1" s="434"/>
      <c r="MKZ1" s="434"/>
      <c r="MLA1" s="434"/>
      <c r="MLB1" s="434"/>
      <c r="MLC1" s="434"/>
      <c r="MLD1" s="434"/>
      <c r="MLE1" s="434"/>
      <c r="MLF1" s="434"/>
      <c r="MLG1" s="434"/>
      <c r="MLH1" s="434"/>
      <c r="MLI1" s="434"/>
      <c r="MLJ1" s="434"/>
      <c r="MLK1" s="434"/>
      <c r="MLL1" s="434"/>
      <c r="MLM1" s="434"/>
      <c r="MLN1" s="434"/>
      <c r="MLO1" s="434"/>
      <c r="MLP1" s="434"/>
      <c r="MLQ1" s="434"/>
      <c r="MLR1" s="434"/>
      <c r="MLS1" s="434"/>
      <c r="MLT1" s="434"/>
      <c r="MLU1" s="434"/>
      <c r="MLV1" s="434"/>
      <c r="MLW1" s="434"/>
      <c r="MLX1" s="434"/>
      <c r="MLY1" s="434"/>
      <c r="MLZ1" s="434"/>
      <c r="MMA1" s="434"/>
      <c r="MMB1" s="434"/>
      <c r="MMC1" s="434"/>
      <c r="MMD1" s="434"/>
      <c r="MME1" s="434"/>
      <c r="MMF1" s="434"/>
      <c r="MMG1" s="434"/>
      <c r="MMH1" s="434"/>
      <c r="MMI1" s="434"/>
      <c r="MMJ1" s="434"/>
      <c r="MMK1" s="434"/>
      <c r="MML1" s="434"/>
      <c r="MMM1" s="434"/>
      <c r="MMN1" s="434"/>
      <c r="MMO1" s="434"/>
      <c r="MMP1" s="434"/>
      <c r="MMQ1" s="434"/>
      <c r="MMR1" s="434"/>
      <c r="MMS1" s="434"/>
      <c r="MMT1" s="434"/>
      <c r="MMU1" s="434"/>
      <c r="MMV1" s="434"/>
      <c r="MMW1" s="434"/>
      <c r="MMX1" s="434"/>
      <c r="MMY1" s="434"/>
      <c r="MMZ1" s="434"/>
      <c r="MNA1" s="434"/>
      <c r="MNB1" s="434"/>
      <c r="MNC1" s="434"/>
      <c r="MND1" s="434"/>
      <c r="MNE1" s="434"/>
      <c r="MNF1" s="434"/>
      <c r="MNG1" s="434"/>
      <c r="MNH1" s="434"/>
      <c r="MNI1" s="434"/>
      <c r="MNJ1" s="434"/>
      <c r="MNK1" s="434"/>
      <c r="MNL1" s="434"/>
      <c r="MNM1" s="434"/>
      <c r="MNN1" s="434"/>
      <c r="MNO1" s="434"/>
      <c r="MNP1" s="434"/>
      <c r="MNQ1" s="434"/>
      <c r="MNR1" s="434"/>
      <c r="MNS1" s="434"/>
      <c r="MNT1" s="434"/>
      <c r="MNU1" s="434"/>
      <c r="MNV1" s="434"/>
      <c r="MNW1" s="434"/>
      <c r="MNX1" s="434"/>
      <c r="MNY1" s="434"/>
      <c r="MNZ1" s="434"/>
      <c r="MOA1" s="434"/>
      <c r="MOB1" s="434"/>
      <c r="MOC1" s="434"/>
      <c r="MOD1" s="434"/>
      <c r="MOE1" s="434"/>
      <c r="MOF1" s="434"/>
      <c r="MOG1" s="434"/>
      <c r="MOH1" s="434"/>
      <c r="MOI1" s="434"/>
      <c r="MOJ1" s="434"/>
      <c r="MOK1" s="434"/>
      <c r="MOL1" s="434"/>
      <c r="MOM1" s="434"/>
      <c r="MON1" s="434"/>
      <c r="MOO1" s="434"/>
      <c r="MOP1" s="434"/>
      <c r="MOQ1" s="434"/>
      <c r="MOR1" s="434"/>
      <c r="MOS1" s="434"/>
      <c r="MOT1" s="434"/>
      <c r="MOU1" s="434"/>
      <c r="MOV1" s="434"/>
      <c r="MOW1" s="434"/>
      <c r="MOX1" s="434"/>
      <c r="MOY1" s="434"/>
      <c r="MOZ1" s="434"/>
      <c r="MPA1" s="434"/>
      <c r="MPB1" s="434"/>
      <c r="MPC1" s="434"/>
      <c r="MPD1" s="434"/>
      <c r="MPE1" s="434"/>
      <c r="MPF1" s="434"/>
      <c r="MPG1" s="434"/>
      <c r="MPH1" s="434"/>
      <c r="MPI1" s="434"/>
      <c r="MPJ1" s="434"/>
      <c r="MPK1" s="434"/>
      <c r="MPL1" s="434"/>
      <c r="MPM1" s="434"/>
      <c r="MPN1" s="434"/>
      <c r="MPO1" s="434"/>
      <c r="MPP1" s="434"/>
      <c r="MPQ1" s="434"/>
      <c r="MPR1" s="434"/>
      <c r="MPS1" s="434"/>
      <c r="MPT1" s="434"/>
      <c r="MPU1" s="434"/>
      <c r="MPV1" s="434"/>
      <c r="MPW1" s="434"/>
      <c r="MPX1" s="434"/>
      <c r="MPY1" s="434"/>
      <c r="MPZ1" s="434"/>
      <c r="MQA1" s="434"/>
      <c r="MQB1" s="434"/>
      <c r="MQC1" s="434"/>
      <c r="MQD1" s="434"/>
      <c r="MQE1" s="434"/>
      <c r="MQF1" s="434"/>
      <c r="MQG1" s="434"/>
      <c r="MQH1" s="434"/>
      <c r="MQI1" s="434"/>
      <c r="MQJ1" s="434"/>
      <c r="MQK1" s="434"/>
      <c r="MQL1" s="434"/>
      <c r="MQM1" s="434"/>
      <c r="MQN1" s="434"/>
      <c r="MQO1" s="434"/>
      <c r="MQP1" s="434"/>
      <c r="MQQ1" s="434"/>
      <c r="MQR1" s="434"/>
      <c r="MQS1" s="434"/>
      <c r="MQT1" s="434"/>
      <c r="MQU1" s="434"/>
      <c r="MQV1" s="434"/>
      <c r="MQW1" s="434"/>
      <c r="MQX1" s="434"/>
      <c r="MQY1" s="434"/>
      <c r="MQZ1" s="434"/>
      <c r="MRA1" s="434"/>
      <c r="MRB1" s="434"/>
      <c r="MRC1" s="434"/>
      <c r="MRD1" s="434"/>
      <c r="MRE1" s="434"/>
      <c r="MRF1" s="434"/>
      <c r="MRG1" s="434"/>
      <c r="MRH1" s="434"/>
      <c r="MRI1" s="434"/>
      <c r="MRJ1" s="434"/>
      <c r="MRK1" s="434"/>
      <c r="MRL1" s="434"/>
      <c r="MRM1" s="434"/>
      <c r="MRN1" s="434"/>
      <c r="MRO1" s="434"/>
      <c r="MRP1" s="434"/>
      <c r="MRQ1" s="434"/>
      <c r="MRR1" s="434"/>
      <c r="MRS1" s="434"/>
      <c r="MRT1" s="434"/>
      <c r="MRU1" s="434"/>
      <c r="MRV1" s="434"/>
      <c r="MRW1" s="434"/>
      <c r="MRX1" s="434"/>
      <c r="MRY1" s="434"/>
      <c r="MRZ1" s="434"/>
      <c r="MSA1" s="434"/>
      <c r="MSB1" s="434"/>
      <c r="MSC1" s="434"/>
      <c r="MSD1" s="434"/>
      <c r="MSE1" s="434"/>
      <c r="MSF1" s="434"/>
      <c r="MSG1" s="434"/>
      <c r="MSH1" s="434"/>
      <c r="MSI1" s="434"/>
      <c r="MSJ1" s="434"/>
      <c r="MSK1" s="434"/>
      <c r="MSL1" s="434"/>
      <c r="MSM1" s="434"/>
      <c r="MSN1" s="434"/>
      <c r="MSO1" s="434"/>
      <c r="MSP1" s="434"/>
      <c r="MSQ1" s="434"/>
      <c r="MSR1" s="434"/>
      <c r="MSS1" s="434"/>
      <c r="MST1" s="434"/>
      <c r="MSU1" s="434"/>
      <c r="MSV1" s="434"/>
      <c r="MSW1" s="434"/>
      <c r="MSX1" s="434"/>
      <c r="MSY1" s="434"/>
      <c r="MSZ1" s="434"/>
      <c r="MTA1" s="434"/>
      <c r="MTB1" s="434"/>
      <c r="MTC1" s="434"/>
      <c r="MTD1" s="434"/>
      <c r="MTE1" s="434"/>
      <c r="MTF1" s="434"/>
      <c r="MTG1" s="434"/>
      <c r="MTH1" s="434"/>
      <c r="MTI1" s="434"/>
      <c r="MTJ1" s="434"/>
      <c r="MTK1" s="434"/>
      <c r="MTL1" s="434"/>
      <c r="MTM1" s="434"/>
      <c r="MTN1" s="434"/>
      <c r="MTO1" s="434"/>
      <c r="MTP1" s="434"/>
      <c r="MTQ1" s="434"/>
      <c r="MTR1" s="434"/>
      <c r="MTS1" s="434"/>
      <c r="MTT1" s="434"/>
      <c r="MTU1" s="434"/>
      <c r="MTV1" s="434"/>
      <c r="MTW1" s="434"/>
      <c r="MTX1" s="434"/>
      <c r="MTY1" s="434"/>
      <c r="MTZ1" s="434"/>
      <c r="MUA1" s="434"/>
      <c r="MUB1" s="434"/>
      <c r="MUC1" s="434"/>
      <c r="MUD1" s="434"/>
      <c r="MUE1" s="434"/>
      <c r="MUF1" s="434"/>
      <c r="MUG1" s="434"/>
      <c r="MUH1" s="434"/>
      <c r="MUI1" s="434"/>
      <c r="MUJ1" s="434"/>
      <c r="MUK1" s="434"/>
      <c r="MUL1" s="434"/>
      <c r="MUM1" s="434"/>
      <c r="MUN1" s="434"/>
      <c r="MUO1" s="434"/>
      <c r="MUP1" s="434"/>
      <c r="MUQ1" s="434"/>
      <c r="MUR1" s="434"/>
      <c r="MUS1" s="434"/>
      <c r="MUT1" s="434"/>
      <c r="MUU1" s="434"/>
      <c r="MUV1" s="434"/>
      <c r="MUW1" s="434"/>
      <c r="MUX1" s="434"/>
      <c r="MUY1" s="434"/>
      <c r="MUZ1" s="434"/>
      <c r="MVA1" s="434"/>
      <c r="MVB1" s="434"/>
      <c r="MVC1" s="434"/>
      <c r="MVD1" s="434"/>
      <c r="MVE1" s="434"/>
      <c r="MVF1" s="434"/>
      <c r="MVG1" s="434"/>
      <c r="MVH1" s="434"/>
      <c r="MVI1" s="434"/>
      <c r="MVJ1" s="434"/>
      <c r="MVK1" s="434"/>
      <c r="MVL1" s="434"/>
      <c r="MVM1" s="434"/>
      <c r="MVN1" s="434"/>
      <c r="MVO1" s="434"/>
      <c r="MVP1" s="434"/>
      <c r="MVQ1" s="434"/>
      <c r="MVR1" s="434"/>
      <c r="MVS1" s="434"/>
      <c r="MVT1" s="434"/>
      <c r="MVU1" s="434"/>
      <c r="MVV1" s="434"/>
      <c r="MVW1" s="434"/>
      <c r="MVX1" s="434"/>
      <c r="MVY1" s="434"/>
      <c r="MVZ1" s="434"/>
      <c r="MWA1" s="434"/>
      <c r="MWB1" s="434"/>
      <c r="MWC1" s="434"/>
      <c r="MWD1" s="434"/>
      <c r="MWE1" s="434"/>
      <c r="MWF1" s="434"/>
      <c r="MWG1" s="434"/>
      <c r="MWH1" s="434"/>
      <c r="MWI1" s="434"/>
      <c r="MWJ1" s="434"/>
      <c r="MWK1" s="434"/>
      <c r="MWL1" s="434"/>
      <c r="MWM1" s="434"/>
      <c r="MWN1" s="434"/>
      <c r="MWO1" s="434"/>
      <c r="MWP1" s="434"/>
      <c r="MWQ1" s="434"/>
      <c r="MWR1" s="434"/>
      <c r="MWS1" s="434"/>
      <c r="MWT1" s="434"/>
      <c r="MWU1" s="434"/>
      <c r="MWV1" s="434"/>
      <c r="MWW1" s="434"/>
      <c r="MWX1" s="434"/>
      <c r="MWY1" s="434"/>
      <c r="MWZ1" s="434"/>
      <c r="MXA1" s="434"/>
      <c r="MXB1" s="434"/>
      <c r="MXC1" s="434"/>
      <c r="MXD1" s="434"/>
      <c r="MXE1" s="434"/>
      <c r="MXF1" s="434"/>
      <c r="MXG1" s="434"/>
      <c r="MXH1" s="434"/>
      <c r="MXI1" s="434"/>
      <c r="MXJ1" s="434"/>
      <c r="MXK1" s="434"/>
      <c r="MXL1" s="434"/>
      <c r="MXM1" s="434"/>
      <c r="MXN1" s="434"/>
      <c r="MXO1" s="434"/>
      <c r="MXP1" s="434"/>
      <c r="MXQ1" s="434"/>
      <c r="MXR1" s="434"/>
      <c r="MXS1" s="434"/>
      <c r="MXT1" s="434"/>
      <c r="MXU1" s="434"/>
      <c r="MXV1" s="434"/>
      <c r="MXW1" s="434"/>
      <c r="MXX1" s="434"/>
      <c r="MXY1" s="434"/>
      <c r="MXZ1" s="434"/>
      <c r="MYA1" s="434"/>
      <c r="MYB1" s="434"/>
      <c r="MYC1" s="434"/>
      <c r="MYD1" s="434"/>
      <c r="MYE1" s="434"/>
      <c r="MYF1" s="434"/>
      <c r="MYG1" s="434"/>
      <c r="MYH1" s="434"/>
      <c r="MYI1" s="434"/>
      <c r="MYJ1" s="434"/>
      <c r="MYK1" s="434"/>
      <c r="MYL1" s="434"/>
      <c r="MYM1" s="434"/>
      <c r="MYN1" s="434"/>
      <c r="MYO1" s="434"/>
      <c r="MYP1" s="434"/>
      <c r="MYQ1" s="434"/>
      <c r="MYR1" s="434"/>
      <c r="MYS1" s="434"/>
      <c r="MYT1" s="434"/>
      <c r="MYU1" s="434"/>
      <c r="MYV1" s="434"/>
      <c r="MYW1" s="434"/>
      <c r="MYX1" s="434"/>
      <c r="MYY1" s="434"/>
      <c r="MYZ1" s="434"/>
      <c r="MZA1" s="434"/>
      <c r="MZB1" s="434"/>
      <c r="MZC1" s="434"/>
      <c r="MZD1" s="434"/>
      <c r="MZE1" s="434"/>
      <c r="MZF1" s="434"/>
      <c r="MZG1" s="434"/>
      <c r="MZH1" s="434"/>
      <c r="MZI1" s="434"/>
      <c r="MZJ1" s="434"/>
      <c r="MZK1" s="434"/>
      <c r="MZL1" s="434"/>
      <c r="MZM1" s="434"/>
      <c r="MZN1" s="434"/>
      <c r="MZO1" s="434"/>
      <c r="MZP1" s="434"/>
      <c r="MZQ1" s="434"/>
      <c r="MZR1" s="434"/>
      <c r="MZS1" s="434"/>
      <c r="MZT1" s="434"/>
      <c r="MZU1" s="434"/>
      <c r="MZV1" s="434"/>
      <c r="MZW1" s="434"/>
      <c r="MZX1" s="434"/>
      <c r="MZY1" s="434"/>
      <c r="MZZ1" s="434"/>
      <c r="NAA1" s="434"/>
      <c r="NAB1" s="434"/>
      <c r="NAC1" s="434"/>
      <c r="NAD1" s="434"/>
      <c r="NAE1" s="434"/>
      <c r="NAF1" s="434"/>
      <c r="NAG1" s="434"/>
      <c r="NAH1" s="434"/>
      <c r="NAI1" s="434"/>
      <c r="NAJ1" s="434"/>
      <c r="NAK1" s="434"/>
      <c r="NAL1" s="434"/>
      <c r="NAM1" s="434"/>
      <c r="NAN1" s="434"/>
      <c r="NAO1" s="434"/>
      <c r="NAP1" s="434"/>
      <c r="NAQ1" s="434"/>
      <c r="NAR1" s="434"/>
      <c r="NAS1" s="434"/>
      <c r="NAT1" s="434"/>
      <c r="NAU1" s="434"/>
      <c r="NAV1" s="434"/>
      <c r="NAW1" s="434"/>
      <c r="NAX1" s="434"/>
      <c r="NAY1" s="434"/>
      <c r="NAZ1" s="434"/>
      <c r="NBA1" s="434"/>
      <c r="NBB1" s="434"/>
      <c r="NBC1" s="434"/>
      <c r="NBD1" s="434"/>
      <c r="NBE1" s="434"/>
      <c r="NBF1" s="434"/>
      <c r="NBG1" s="434"/>
      <c r="NBH1" s="434"/>
      <c r="NBI1" s="434"/>
      <c r="NBJ1" s="434"/>
      <c r="NBK1" s="434"/>
      <c r="NBL1" s="434"/>
      <c r="NBM1" s="434"/>
      <c r="NBN1" s="434"/>
      <c r="NBO1" s="434"/>
      <c r="NBP1" s="434"/>
      <c r="NBQ1" s="434"/>
      <c r="NBR1" s="434"/>
      <c r="NBS1" s="434"/>
      <c r="NBT1" s="434"/>
      <c r="NBU1" s="434"/>
      <c r="NBV1" s="434"/>
      <c r="NBW1" s="434"/>
      <c r="NBX1" s="434"/>
      <c r="NBY1" s="434"/>
      <c r="NBZ1" s="434"/>
      <c r="NCA1" s="434"/>
      <c r="NCB1" s="434"/>
      <c r="NCC1" s="434"/>
      <c r="NCD1" s="434"/>
      <c r="NCE1" s="434"/>
      <c r="NCF1" s="434"/>
      <c r="NCG1" s="434"/>
      <c r="NCH1" s="434"/>
      <c r="NCI1" s="434"/>
      <c r="NCJ1" s="434"/>
      <c r="NCK1" s="434"/>
      <c r="NCL1" s="434"/>
      <c r="NCM1" s="434"/>
      <c r="NCN1" s="434"/>
      <c r="NCO1" s="434"/>
      <c r="NCP1" s="434"/>
      <c r="NCQ1" s="434"/>
      <c r="NCR1" s="434"/>
      <c r="NCS1" s="434"/>
      <c r="NCT1" s="434"/>
      <c r="NCU1" s="434"/>
      <c r="NCV1" s="434"/>
      <c r="NCW1" s="434"/>
      <c r="NCX1" s="434"/>
      <c r="NCY1" s="434"/>
      <c r="NCZ1" s="434"/>
      <c r="NDA1" s="434"/>
      <c r="NDB1" s="434"/>
      <c r="NDC1" s="434"/>
      <c r="NDD1" s="434"/>
      <c r="NDE1" s="434"/>
      <c r="NDF1" s="434"/>
      <c r="NDG1" s="434"/>
      <c r="NDH1" s="434"/>
      <c r="NDI1" s="434"/>
      <c r="NDJ1" s="434"/>
      <c r="NDK1" s="434"/>
      <c r="NDL1" s="434"/>
      <c r="NDM1" s="434"/>
      <c r="NDN1" s="434"/>
      <c r="NDO1" s="434"/>
      <c r="NDP1" s="434"/>
      <c r="NDQ1" s="434"/>
      <c r="NDR1" s="434"/>
      <c r="NDS1" s="434"/>
      <c r="NDT1" s="434"/>
      <c r="NDU1" s="434"/>
      <c r="NDV1" s="434"/>
      <c r="NDW1" s="434"/>
      <c r="NDX1" s="434"/>
      <c r="NDY1" s="434"/>
      <c r="NDZ1" s="434"/>
      <c r="NEA1" s="434"/>
      <c r="NEB1" s="434"/>
      <c r="NEC1" s="434"/>
      <c r="NED1" s="434"/>
      <c r="NEE1" s="434"/>
      <c r="NEF1" s="434"/>
      <c r="NEG1" s="434"/>
      <c r="NEH1" s="434"/>
      <c r="NEI1" s="434"/>
      <c r="NEJ1" s="434"/>
      <c r="NEK1" s="434"/>
      <c r="NEL1" s="434"/>
      <c r="NEM1" s="434"/>
      <c r="NEN1" s="434"/>
      <c r="NEO1" s="434"/>
      <c r="NEP1" s="434"/>
      <c r="NEQ1" s="434"/>
      <c r="NER1" s="434"/>
      <c r="NES1" s="434"/>
      <c r="NET1" s="434"/>
      <c r="NEU1" s="434"/>
      <c r="NEV1" s="434"/>
      <c r="NEW1" s="434"/>
      <c r="NEX1" s="434"/>
      <c r="NEY1" s="434"/>
      <c r="NEZ1" s="434"/>
      <c r="NFA1" s="434"/>
      <c r="NFB1" s="434"/>
      <c r="NFC1" s="434"/>
      <c r="NFD1" s="434"/>
      <c r="NFE1" s="434"/>
      <c r="NFF1" s="434"/>
      <c r="NFG1" s="434"/>
      <c r="NFH1" s="434"/>
      <c r="NFI1" s="434"/>
      <c r="NFJ1" s="434"/>
      <c r="NFK1" s="434"/>
      <c r="NFL1" s="434"/>
      <c r="NFM1" s="434"/>
      <c r="NFN1" s="434"/>
      <c r="NFO1" s="434"/>
      <c r="NFP1" s="434"/>
      <c r="NFQ1" s="434"/>
      <c r="NFR1" s="434"/>
      <c r="NFS1" s="434"/>
      <c r="NFT1" s="434"/>
      <c r="NFU1" s="434"/>
      <c r="NFV1" s="434"/>
      <c r="NFW1" s="434"/>
      <c r="NFX1" s="434"/>
      <c r="NFY1" s="434"/>
      <c r="NFZ1" s="434"/>
      <c r="NGA1" s="434"/>
      <c r="NGB1" s="434"/>
      <c r="NGC1" s="434"/>
      <c r="NGD1" s="434"/>
      <c r="NGE1" s="434"/>
      <c r="NGF1" s="434"/>
      <c r="NGG1" s="434"/>
      <c r="NGH1" s="434"/>
      <c r="NGI1" s="434"/>
      <c r="NGJ1" s="434"/>
      <c r="NGK1" s="434"/>
      <c r="NGL1" s="434"/>
      <c r="NGM1" s="434"/>
      <c r="NGN1" s="434"/>
      <c r="NGO1" s="434"/>
      <c r="NGP1" s="434"/>
      <c r="NGQ1" s="434"/>
      <c r="NGR1" s="434"/>
      <c r="NGS1" s="434"/>
      <c r="NGT1" s="434"/>
      <c r="NGU1" s="434"/>
      <c r="NGV1" s="434"/>
      <c r="NGW1" s="434"/>
      <c r="NGX1" s="434"/>
      <c r="NGY1" s="434"/>
      <c r="NGZ1" s="434"/>
      <c r="NHA1" s="434"/>
      <c r="NHB1" s="434"/>
      <c r="NHC1" s="434"/>
      <c r="NHD1" s="434"/>
      <c r="NHE1" s="434"/>
      <c r="NHF1" s="434"/>
      <c r="NHG1" s="434"/>
      <c r="NHH1" s="434"/>
      <c r="NHI1" s="434"/>
      <c r="NHJ1" s="434"/>
      <c r="NHK1" s="434"/>
      <c r="NHL1" s="434"/>
      <c r="NHM1" s="434"/>
      <c r="NHN1" s="434"/>
      <c r="NHO1" s="434"/>
      <c r="NHP1" s="434"/>
      <c r="NHQ1" s="434"/>
      <c r="NHR1" s="434"/>
      <c r="NHS1" s="434"/>
      <c r="NHT1" s="434"/>
      <c r="NHU1" s="434"/>
      <c r="NHV1" s="434"/>
      <c r="NHW1" s="434"/>
      <c r="NHX1" s="434"/>
      <c r="NHY1" s="434"/>
      <c r="NHZ1" s="434"/>
      <c r="NIA1" s="434"/>
      <c r="NIB1" s="434"/>
      <c r="NIC1" s="434"/>
      <c r="NID1" s="434"/>
      <c r="NIE1" s="434"/>
      <c r="NIF1" s="434"/>
      <c r="NIG1" s="434"/>
      <c r="NIH1" s="434"/>
      <c r="NII1" s="434"/>
      <c r="NIJ1" s="434"/>
      <c r="NIK1" s="434"/>
      <c r="NIL1" s="434"/>
      <c r="NIM1" s="434"/>
      <c r="NIN1" s="434"/>
      <c r="NIO1" s="434"/>
      <c r="NIP1" s="434"/>
      <c r="NIQ1" s="434"/>
      <c r="NIR1" s="434"/>
      <c r="NIS1" s="434"/>
      <c r="NIT1" s="434"/>
      <c r="NIU1" s="434"/>
      <c r="NIV1" s="434"/>
      <c r="NIW1" s="434"/>
      <c r="NIX1" s="434"/>
      <c r="NIY1" s="434"/>
      <c r="NIZ1" s="434"/>
      <c r="NJA1" s="434"/>
      <c r="NJB1" s="434"/>
      <c r="NJC1" s="434"/>
      <c r="NJD1" s="434"/>
      <c r="NJE1" s="434"/>
      <c r="NJF1" s="434"/>
      <c r="NJG1" s="434"/>
      <c r="NJH1" s="434"/>
      <c r="NJI1" s="434"/>
      <c r="NJJ1" s="434"/>
      <c r="NJK1" s="434"/>
      <c r="NJL1" s="434"/>
      <c r="NJM1" s="434"/>
      <c r="NJN1" s="434"/>
      <c r="NJO1" s="434"/>
      <c r="NJP1" s="434"/>
      <c r="NJQ1" s="434"/>
      <c r="NJR1" s="434"/>
      <c r="NJS1" s="434"/>
      <c r="NJT1" s="434"/>
      <c r="NJU1" s="434"/>
      <c r="NJV1" s="434"/>
      <c r="NJW1" s="434"/>
      <c r="NJX1" s="434"/>
      <c r="NJY1" s="434"/>
      <c r="NJZ1" s="434"/>
      <c r="NKA1" s="434"/>
      <c r="NKB1" s="434"/>
      <c r="NKC1" s="434"/>
      <c r="NKD1" s="434"/>
      <c r="NKE1" s="434"/>
      <c r="NKF1" s="434"/>
      <c r="NKG1" s="434"/>
      <c r="NKH1" s="434"/>
      <c r="NKI1" s="434"/>
      <c r="NKJ1" s="434"/>
      <c r="NKK1" s="434"/>
      <c r="NKL1" s="434"/>
      <c r="NKM1" s="434"/>
      <c r="NKN1" s="434"/>
      <c r="NKO1" s="434"/>
      <c r="NKP1" s="434"/>
      <c r="NKQ1" s="434"/>
      <c r="NKR1" s="434"/>
      <c r="NKS1" s="434"/>
      <c r="NKT1" s="434"/>
      <c r="NKU1" s="434"/>
      <c r="NKV1" s="434"/>
      <c r="NKW1" s="434"/>
      <c r="NKX1" s="434"/>
      <c r="NKY1" s="434"/>
      <c r="NKZ1" s="434"/>
      <c r="NLA1" s="434"/>
      <c r="NLB1" s="434"/>
      <c r="NLC1" s="434"/>
      <c r="NLD1" s="434"/>
      <c r="NLE1" s="434"/>
      <c r="NLF1" s="434"/>
      <c r="NLG1" s="434"/>
      <c r="NLH1" s="434"/>
      <c r="NLI1" s="434"/>
      <c r="NLJ1" s="434"/>
      <c r="NLK1" s="434"/>
      <c r="NLL1" s="434"/>
      <c r="NLM1" s="434"/>
      <c r="NLN1" s="434"/>
      <c r="NLO1" s="434"/>
      <c r="NLP1" s="434"/>
      <c r="NLQ1" s="434"/>
      <c r="NLR1" s="434"/>
      <c r="NLS1" s="434"/>
      <c r="NLT1" s="434"/>
      <c r="NLU1" s="434"/>
      <c r="NLV1" s="434"/>
      <c r="NLW1" s="434"/>
      <c r="NLX1" s="434"/>
      <c r="NLY1" s="434"/>
      <c r="NLZ1" s="434"/>
      <c r="NMA1" s="434"/>
      <c r="NMB1" s="434"/>
      <c r="NMC1" s="434"/>
      <c r="NMD1" s="434"/>
      <c r="NME1" s="434"/>
      <c r="NMF1" s="434"/>
      <c r="NMG1" s="434"/>
      <c r="NMH1" s="434"/>
      <c r="NMI1" s="434"/>
      <c r="NMJ1" s="434"/>
      <c r="NMK1" s="434"/>
      <c r="NML1" s="434"/>
      <c r="NMM1" s="434"/>
      <c r="NMN1" s="434"/>
      <c r="NMO1" s="434"/>
      <c r="NMP1" s="434"/>
      <c r="NMQ1" s="434"/>
      <c r="NMR1" s="434"/>
      <c r="NMS1" s="434"/>
      <c r="NMT1" s="434"/>
      <c r="NMU1" s="434"/>
      <c r="NMV1" s="434"/>
      <c r="NMW1" s="434"/>
      <c r="NMX1" s="434"/>
      <c r="NMY1" s="434"/>
      <c r="NMZ1" s="434"/>
      <c r="NNA1" s="434"/>
      <c r="NNB1" s="434"/>
      <c r="NNC1" s="434"/>
      <c r="NND1" s="434"/>
      <c r="NNE1" s="434"/>
      <c r="NNF1" s="434"/>
      <c r="NNG1" s="434"/>
      <c r="NNH1" s="434"/>
      <c r="NNI1" s="434"/>
      <c r="NNJ1" s="434"/>
      <c r="NNK1" s="434"/>
      <c r="NNL1" s="434"/>
      <c r="NNM1" s="434"/>
      <c r="NNN1" s="434"/>
      <c r="NNO1" s="434"/>
      <c r="NNP1" s="434"/>
      <c r="NNQ1" s="434"/>
      <c r="NNR1" s="434"/>
      <c r="NNS1" s="434"/>
      <c r="NNT1" s="434"/>
      <c r="NNU1" s="434"/>
      <c r="NNV1" s="434"/>
      <c r="NNW1" s="434"/>
      <c r="NNX1" s="434"/>
      <c r="NNY1" s="434"/>
      <c r="NNZ1" s="434"/>
      <c r="NOA1" s="434"/>
      <c r="NOB1" s="434"/>
      <c r="NOC1" s="434"/>
      <c r="NOD1" s="434"/>
      <c r="NOE1" s="434"/>
      <c r="NOF1" s="434"/>
      <c r="NOG1" s="434"/>
      <c r="NOH1" s="434"/>
      <c r="NOI1" s="434"/>
      <c r="NOJ1" s="434"/>
      <c r="NOK1" s="434"/>
      <c r="NOL1" s="434"/>
      <c r="NOM1" s="434"/>
      <c r="NON1" s="434"/>
      <c r="NOO1" s="434"/>
      <c r="NOP1" s="434"/>
      <c r="NOQ1" s="434"/>
      <c r="NOR1" s="434"/>
      <c r="NOS1" s="434"/>
      <c r="NOT1" s="434"/>
      <c r="NOU1" s="434"/>
      <c r="NOV1" s="434"/>
      <c r="NOW1" s="434"/>
      <c r="NOX1" s="434"/>
      <c r="NOY1" s="434"/>
      <c r="NOZ1" s="434"/>
      <c r="NPA1" s="434"/>
      <c r="NPB1" s="434"/>
      <c r="NPC1" s="434"/>
      <c r="NPD1" s="434"/>
      <c r="NPE1" s="434"/>
      <c r="NPF1" s="434"/>
      <c r="NPG1" s="434"/>
      <c r="NPH1" s="434"/>
      <c r="NPI1" s="434"/>
      <c r="NPJ1" s="434"/>
      <c r="NPK1" s="434"/>
      <c r="NPL1" s="434"/>
      <c r="NPM1" s="434"/>
      <c r="NPN1" s="434"/>
      <c r="NPO1" s="434"/>
      <c r="NPP1" s="434"/>
      <c r="NPQ1" s="434"/>
      <c r="NPR1" s="434"/>
      <c r="NPS1" s="434"/>
      <c r="NPT1" s="434"/>
      <c r="NPU1" s="434"/>
      <c r="NPV1" s="434"/>
      <c r="NPW1" s="434"/>
      <c r="NPX1" s="434"/>
      <c r="NPY1" s="434"/>
      <c r="NPZ1" s="434"/>
      <c r="NQA1" s="434"/>
      <c r="NQB1" s="434"/>
      <c r="NQC1" s="434"/>
      <c r="NQD1" s="434"/>
      <c r="NQE1" s="434"/>
      <c r="NQF1" s="434"/>
      <c r="NQG1" s="434"/>
      <c r="NQH1" s="434"/>
      <c r="NQI1" s="434"/>
      <c r="NQJ1" s="434"/>
      <c r="NQK1" s="434"/>
      <c r="NQL1" s="434"/>
      <c r="NQM1" s="434"/>
      <c r="NQN1" s="434"/>
      <c r="NQO1" s="434"/>
      <c r="NQP1" s="434"/>
      <c r="NQQ1" s="434"/>
      <c r="NQR1" s="434"/>
      <c r="NQS1" s="434"/>
      <c r="NQT1" s="434"/>
      <c r="NQU1" s="434"/>
      <c r="NQV1" s="434"/>
      <c r="NQW1" s="434"/>
      <c r="NQX1" s="434"/>
      <c r="NQY1" s="434"/>
      <c r="NQZ1" s="434"/>
      <c r="NRA1" s="434"/>
      <c r="NRB1" s="434"/>
      <c r="NRC1" s="434"/>
      <c r="NRD1" s="434"/>
      <c r="NRE1" s="434"/>
      <c r="NRF1" s="434"/>
      <c r="NRG1" s="434"/>
      <c r="NRH1" s="434"/>
      <c r="NRI1" s="434"/>
      <c r="NRJ1" s="434"/>
      <c r="NRK1" s="434"/>
      <c r="NRL1" s="434"/>
      <c r="NRM1" s="434"/>
      <c r="NRN1" s="434"/>
      <c r="NRO1" s="434"/>
      <c r="NRP1" s="434"/>
      <c r="NRQ1" s="434"/>
      <c r="NRR1" s="434"/>
      <c r="NRS1" s="434"/>
      <c r="NRT1" s="434"/>
      <c r="NRU1" s="434"/>
      <c r="NRV1" s="434"/>
      <c r="NRW1" s="434"/>
      <c r="NRX1" s="434"/>
      <c r="NRY1" s="434"/>
      <c r="NRZ1" s="434"/>
      <c r="NSA1" s="434"/>
      <c r="NSB1" s="434"/>
      <c r="NSC1" s="434"/>
      <c r="NSD1" s="434"/>
      <c r="NSE1" s="434"/>
      <c r="NSF1" s="434"/>
      <c r="NSG1" s="434"/>
      <c r="NSH1" s="434"/>
      <c r="NSI1" s="434"/>
      <c r="NSJ1" s="434"/>
      <c r="NSK1" s="434"/>
      <c r="NSL1" s="434"/>
      <c r="NSM1" s="434"/>
      <c r="NSN1" s="434"/>
      <c r="NSO1" s="434"/>
      <c r="NSP1" s="434"/>
      <c r="NSQ1" s="434"/>
      <c r="NSR1" s="434"/>
      <c r="NSS1" s="434"/>
      <c r="NST1" s="434"/>
      <c r="NSU1" s="434"/>
      <c r="NSV1" s="434"/>
      <c r="NSW1" s="434"/>
      <c r="NSX1" s="434"/>
      <c r="NSY1" s="434"/>
      <c r="NSZ1" s="434"/>
      <c r="NTA1" s="434"/>
      <c r="NTB1" s="434"/>
      <c r="NTC1" s="434"/>
      <c r="NTD1" s="434"/>
      <c r="NTE1" s="434"/>
      <c r="NTF1" s="434"/>
      <c r="NTG1" s="434"/>
      <c r="NTH1" s="434"/>
      <c r="NTI1" s="434"/>
      <c r="NTJ1" s="434"/>
      <c r="NTK1" s="434"/>
      <c r="NTL1" s="434"/>
      <c r="NTM1" s="434"/>
      <c r="NTN1" s="434"/>
      <c r="NTO1" s="434"/>
      <c r="NTP1" s="434"/>
      <c r="NTQ1" s="434"/>
      <c r="NTR1" s="434"/>
      <c r="NTS1" s="434"/>
      <c r="NTT1" s="434"/>
      <c r="NTU1" s="434"/>
      <c r="NTV1" s="434"/>
      <c r="NTW1" s="434"/>
      <c r="NTX1" s="434"/>
      <c r="NTY1" s="434"/>
      <c r="NTZ1" s="434"/>
      <c r="NUA1" s="434"/>
      <c r="NUB1" s="434"/>
      <c r="NUC1" s="434"/>
      <c r="NUD1" s="434"/>
      <c r="NUE1" s="434"/>
      <c r="NUF1" s="434"/>
      <c r="NUG1" s="434"/>
      <c r="NUH1" s="434"/>
      <c r="NUI1" s="434"/>
      <c r="NUJ1" s="434"/>
      <c r="NUK1" s="434"/>
      <c r="NUL1" s="434"/>
      <c r="NUM1" s="434"/>
      <c r="NUN1" s="434"/>
      <c r="NUO1" s="434"/>
      <c r="NUP1" s="434"/>
      <c r="NUQ1" s="434"/>
      <c r="NUR1" s="434"/>
      <c r="NUS1" s="434"/>
      <c r="NUT1" s="434"/>
      <c r="NUU1" s="434"/>
      <c r="NUV1" s="434"/>
      <c r="NUW1" s="434"/>
      <c r="NUX1" s="434"/>
      <c r="NUY1" s="434"/>
      <c r="NUZ1" s="434"/>
      <c r="NVA1" s="434"/>
      <c r="NVB1" s="434"/>
      <c r="NVC1" s="434"/>
      <c r="NVD1" s="434"/>
      <c r="NVE1" s="434"/>
      <c r="NVF1" s="434"/>
      <c r="NVG1" s="434"/>
      <c r="NVH1" s="434"/>
      <c r="NVI1" s="434"/>
      <c r="NVJ1" s="434"/>
      <c r="NVK1" s="434"/>
      <c r="NVL1" s="434"/>
      <c r="NVM1" s="434"/>
      <c r="NVN1" s="434"/>
      <c r="NVO1" s="434"/>
      <c r="NVP1" s="434"/>
      <c r="NVQ1" s="434"/>
      <c r="NVR1" s="434"/>
      <c r="NVS1" s="434"/>
      <c r="NVT1" s="434"/>
      <c r="NVU1" s="434"/>
      <c r="NVV1" s="434"/>
      <c r="NVW1" s="434"/>
      <c r="NVX1" s="434"/>
      <c r="NVY1" s="434"/>
      <c r="NVZ1" s="434"/>
      <c r="NWA1" s="434"/>
      <c r="NWB1" s="434"/>
      <c r="NWC1" s="434"/>
      <c r="NWD1" s="434"/>
      <c r="NWE1" s="434"/>
      <c r="NWF1" s="434"/>
      <c r="NWG1" s="434"/>
      <c r="NWH1" s="434"/>
      <c r="NWI1" s="434"/>
      <c r="NWJ1" s="434"/>
      <c r="NWK1" s="434"/>
      <c r="NWL1" s="434"/>
      <c r="NWM1" s="434"/>
      <c r="NWN1" s="434"/>
      <c r="NWO1" s="434"/>
      <c r="NWP1" s="434"/>
      <c r="NWQ1" s="434"/>
      <c r="NWR1" s="434"/>
      <c r="NWS1" s="434"/>
      <c r="NWT1" s="434"/>
      <c r="NWU1" s="434"/>
      <c r="NWV1" s="434"/>
      <c r="NWW1" s="434"/>
      <c r="NWX1" s="434"/>
      <c r="NWY1" s="434"/>
      <c r="NWZ1" s="434"/>
      <c r="NXA1" s="434"/>
      <c r="NXB1" s="434"/>
      <c r="NXC1" s="434"/>
      <c r="NXD1" s="434"/>
      <c r="NXE1" s="434"/>
      <c r="NXF1" s="434"/>
      <c r="NXG1" s="434"/>
      <c r="NXH1" s="434"/>
      <c r="NXI1" s="434"/>
      <c r="NXJ1" s="434"/>
      <c r="NXK1" s="434"/>
      <c r="NXL1" s="434"/>
      <c r="NXM1" s="434"/>
      <c r="NXN1" s="434"/>
      <c r="NXO1" s="434"/>
      <c r="NXP1" s="434"/>
      <c r="NXQ1" s="434"/>
      <c r="NXR1" s="434"/>
      <c r="NXS1" s="434"/>
      <c r="NXT1" s="434"/>
      <c r="NXU1" s="434"/>
      <c r="NXV1" s="434"/>
      <c r="NXW1" s="434"/>
      <c r="NXX1" s="434"/>
      <c r="NXY1" s="434"/>
      <c r="NXZ1" s="434"/>
      <c r="NYA1" s="434"/>
      <c r="NYB1" s="434"/>
      <c r="NYC1" s="434"/>
      <c r="NYD1" s="434"/>
      <c r="NYE1" s="434"/>
      <c r="NYF1" s="434"/>
      <c r="NYG1" s="434"/>
      <c r="NYH1" s="434"/>
      <c r="NYI1" s="434"/>
      <c r="NYJ1" s="434"/>
      <c r="NYK1" s="434"/>
      <c r="NYL1" s="434"/>
      <c r="NYM1" s="434"/>
      <c r="NYN1" s="434"/>
      <c r="NYO1" s="434"/>
      <c r="NYP1" s="434"/>
      <c r="NYQ1" s="434"/>
      <c r="NYR1" s="434"/>
      <c r="NYS1" s="434"/>
      <c r="NYT1" s="434"/>
      <c r="NYU1" s="434"/>
      <c r="NYV1" s="434"/>
      <c r="NYW1" s="434"/>
      <c r="NYX1" s="434"/>
      <c r="NYY1" s="434"/>
      <c r="NYZ1" s="434"/>
      <c r="NZA1" s="434"/>
      <c r="NZB1" s="434"/>
      <c r="NZC1" s="434"/>
      <c r="NZD1" s="434"/>
      <c r="NZE1" s="434"/>
      <c r="NZF1" s="434"/>
      <c r="NZG1" s="434"/>
      <c r="NZH1" s="434"/>
      <c r="NZI1" s="434"/>
      <c r="NZJ1" s="434"/>
      <c r="NZK1" s="434"/>
      <c r="NZL1" s="434"/>
      <c r="NZM1" s="434"/>
      <c r="NZN1" s="434"/>
      <c r="NZO1" s="434"/>
      <c r="NZP1" s="434"/>
      <c r="NZQ1" s="434"/>
      <c r="NZR1" s="434"/>
      <c r="NZS1" s="434"/>
      <c r="NZT1" s="434"/>
      <c r="NZU1" s="434"/>
      <c r="NZV1" s="434"/>
      <c r="NZW1" s="434"/>
      <c r="NZX1" s="434"/>
      <c r="NZY1" s="434"/>
      <c r="NZZ1" s="434"/>
      <c r="OAA1" s="434"/>
      <c r="OAB1" s="434"/>
      <c r="OAC1" s="434"/>
      <c r="OAD1" s="434"/>
      <c r="OAE1" s="434"/>
      <c r="OAF1" s="434"/>
      <c r="OAG1" s="434"/>
      <c r="OAH1" s="434"/>
      <c r="OAI1" s="434"/>
      <c r="OAJ1" s="434"/>
      <c r="OAK1" s="434"/>
      <c r="OAL1" s="434"/>
      <c r="OAM1" s="434"/>
      <c r="OAN1" s="434"/>
      <c r="OAO1" s="434"/>
      <c r="OAP1" s="434"/>
      <c r="OAQ1" s="434"/>
      <c r="OAR1" s="434"/>
      <c r="OAS1" s="434"/>
      <c r="OAT1" s="434"/>
      <c r="OAU1" s="434"/>
      <c r="OAV1" s="434"/>
      <c r="OAW1" s="434"/>
      <c r="OAX1" s="434"/>
      <c r="OAY1" s="434"/>
      <c r="OAZ1" s="434"/>
      <c r="OBA1" s="434"/>
      <c r="OBB1" s="434"/>
      <c r="OBC1" s="434"/>
      <c r="OBD1" s="434"/>
      <c r="OBE1" s="434"/>
      <c r="OBF1" s="434"/>
      <c r="OBG1" s="434"/>
      <c r="OBH1" s="434"/>
      <c r="OBI1" s="434"/>
      <c r="OBJ1" s="434"/>
      <c r="OBK1" s="434"/>
      <c r="OBL1" s="434"/>
      <c r="OBM1" s="434"/>
      <c r="OBN1" s="434"/>
      <c r="OBO1" s="434"/>
      <c r="OBP1" s="434"/>
      <c r="OBQ1" s="434"/>
      <c r="OBR1" s="434"/>
      <c r="OBS1" s="434"/>
      <c r="OBT1" s="434"/>
      <c r="OBU1" s="434"/>
      <c r="OBV1" s="434"/>
      <c r="OBW1" s="434"/>
      <c r="OBX1" s="434"/>
      <c r="OBY1" s="434"/>
      <c r="OBZ1" s="434"/>
      <c r="OCA1" s="434"/>
      <c r="OCB1" s="434"/>
      <c r="OCC1" s="434"/>
      <c r="OCD1" s="434"/>
      <c r="OCE1" s="434"/>
      <c r="OCF1" s="434"/>
      <c r="OCG1" s="434"/>
      <c r="OCH1" s="434"/>
      <c r="OCI1" s="434"/>
      <c r="OCJ1" s="434"/>
      <c r="OCK1" s="434"/>
      <c r="OCL1" s="434"/>
      <c r="OCM1" s="434"/>
      <c r="OCN1" s="434"/>
      <c r="OCO1" s="434"/>
      <c r="OCP1" s="434"/>
      <c r="OCQ1" s="434"/>
      <c r="OCR1" s="434"/>
      <c r="OCS1" s="434"/>
      <c r="OCT1" s="434"/>
      <c r="OCU1" s="434"/>
      <c r="OCV1" s="434"/>
      <c r="OCW1" s="434"/>
      <c r="OCX1" s="434"/>
      <c r="OCY1" s="434"/>
      <c r="OCZ1" s="434"/>
      <c r="ODA1" s="434"/>
      <c r="ODB1" s="434"/>
      <c r="ODC1" s="434"/>
      <c r="ODD1" s="434"/>
      <c r="ODE1" s="434"/>
      <c r="ODF1" s="434"/>
      <c r="ODG1" s="434"/>
      <c r="ODH1" s="434"/>
      <c r="ODI1" s="434"/>
      <c r="ODJ1" s="434"/>
      <c r="ODK1" s="434"/>
      <c r="ODL1" s="434"/>
      <c r="ODM1" s="434"/>
      <c r="ODN1" s="434"/>
      <c r="ODO1" s="434"/>
      <c r="ODP1" s="434"/>
      <c r="ODQ1" s="434"/>
      <c r="ODR1" s="434"/>
      <c r="ODS1" s="434"/>
      <c r="ODT1" s="434"/>
      <c r="ODU1" s="434"/>
      <c r="ODV1" s="434"/>
      <c r="ODW1" s="434"/>
      <c r="ODX1" s="434"/>
      <c r="ODY1" s="434"/>
      <c r="ODZ1" s="434"/>
      <c r="OEA1" s="434"/>
      <c r="OEB1" s="434"/>
      <c r="OEC1" s="434"/>
      <c r="OED1" s="434"/>
      <c r="OEE1" s="434"/>
      <c r="OEF1" s="434"/>
      <c r="OEG1" s="434"/>
      <c r="OEH1" s="434"/>
      <c r="OEI1" s="434"/>
      <c r="OEJ1" s="434"/>
      <c r="OEK1" s="434"/>
      <c r="OEL1" s="434"/>
      <c r="OEM1" s="434"/>
      <c r="OEN1" s="434"/>
      <c r="OEO1" s="434"/>
      <c r="OEP1" s="434"/>
      <c r="OEQ1" s="434"/>
      <c r="OER1" s="434"/>
      <c r="OES1" s="434"/>
      <c r="OET1" s="434"/>
      <c r="OEU1" s="434"/>
      <c r="OEV1" s="434"/>
      <c r="OEW1" s="434"/>
      <c r="OEX1" s="434"/>
      <c r="OEY1" s="434"/>
      <c r="OEZ1" s="434"/>
      <c r="OFA1" s="434"/>
      <c r="OFB1" s="434"/>
      <c r="OFC1" s="434"/>
      <c r="OFD1" s="434"/>
      <c r="OFE1" s="434"/>
      <c r="OFF1" s="434"/>
      <c r="OFG1" s="434"/>
      <c r="OFH1" s="434"/>
      <c r="OFI1" s="434"/>
      <c r="OFJ1" s="434"/>
      <c r="OFK1" s="434"/>
      <c r="OFL1" s="434"/>
      <c r="OFM1" s="434"/>
      <c r="OFN1" s="434"/>
      <c r="OFO1" s="434"/>
      <c r="OFP1" s="434"/>
      <c r="OFQ1" s="434"/>
      <c r="OFR1" s="434"/>
      <c r="OFS1" s="434"/>
      <c r="OFT1" s="434"/>
      <c r="OFU1" s="434"/>
      <c r="OFV1" s="434"/>
      <c r="OFW1" s="434"/>
      <c r="OFX1" s="434"/>
      <c r="OFY1" s="434"/>
      <c r="OFZ1" s="434"/>
      <c r="OGA1" s="434"/>
      <c r="OGB1" s="434"/>
      <c r="OGC1" s="434"/>
      <c r="OGD1" s="434"/>
      <c r="OGE1" s="434"/>
      <c r="OGF1" s="434"/>
      <c r="OGG1" s="434"/>
      <c r="OGH1" s="434"/>
      <c r="OGI1" s="434"/>
      <c r="OGJ1" s="434"/>
      <c r="OGK1" s="434"/>
      <c r="OGL1" s="434"/>
      <c r="OGM1" s="434"/>
      <c r="OGN1" s="434"/>
      <c r="OGO1" s="434"/>
      <c r="OGP1" s="434"/>
      <c r="OGQ1" s="434"/>
      <c r="OGR1" s="434"/>
      <c r="OGS1" s="434"/>
      <c r="OGT1" s="434"/>
      <c r="OGU1" s="434"/>
      <c r="OGV1" s="434"/>
      <c r="OGW1" s="434"/>
      <c r="OGX1" s="434"/>
      <c r="OGY1" s="434"/>
      <c r="OGZ1" s="434"/>
      <c r="OHA1" s="434"/>
      <c r="OHB1" s="434"/>
      <c r="OHC1" s="434"/>
      <c r="OHD1" s="434"/>
      <c r="OHE1" s="434"/>
      <c r="OHF1" s="434"/>
      <c r="OHG1" s="434"/>
      <c r="OHH1" s="434"/>
      <c r="OHI1" s="434"/>
      <c r="OHJ1" s="434"/>
      <c r="OHK1" s="434"/>
      <c r="OHL1" s="434"/>
      <c r="OHM1" s="434"/>
      <c r="OHN1" s="434"/>
      <c r="OHO1" s="434"/>
      <c r="OHP1" s="434"/>
      <c r="OHQ1" s="434"/>
      <c r="OHR1" s="434"/>
      <c r="OHS1" s="434"/>
      <c r="OHT1" s="434"/>
      <c r="OHU1" s="434"/>
      <c r="OHV1" s="434"/>
      <c r="OHW1" s="434"/>
      <c r="OHX1" s="434"/>
      <c r="OHY1" s="434"/>
      <c r="OHZ1" s="434"/>
      <c r="OIA1" s="434"/>
      <c r="OIB1" s="434"/>
      <c r="OIC1" s="434"/>
      <c r="OID1" s="434"/>
      <c r="OIE1" s="434"/>
      <c r="OIF1" s="434"/>
      <c r="OIG1" s="434"/>
      <c r="OIH1" s="434"/>
      <c r="OII1" s="434"/>
      <c r="OIJ1" s="434"/>
      <c r="OIK1" s="434"/>
      <c r="OIL1" s="434"/>
      <c r="OIM1" s="434"/>
      <c r="OIN1" s="434"/>
      <c r="OIO1" s="434"/>
      <c r="OIP1" s="434"/>
      <c r="OIQ1" s="434"/>
      <c r="OIR1" s="434"/>
      <c r="OIS1" s="434"/>
      <c r="OIT1" s="434"/>
      <c r="OIU1" s="434"/>
      <c r="OIV1" s="434"/>
      <c r="OIW1" s="434"/>
      <c r="OIX1" s="434"/>
      <c r="OIY1" s="434"/>
      <c r="OIZ1" s="434"/>
      <c r="OJA1" s="434"/>
      <c r="OJB1" s="434"/>
      <c r="OJC1" s="434"/>
      <c r="OJD1" s="434"/>
      <c r="OJE1" s="434"/>
      <c r="OJF1" s="434"/>
      <c r="OJG1" s="434"/>
      <c r="OJH1" s="434"/>
      <c r="OJI1" s="434"/>
      <c r="OJJ1" s="434"/>
      <c r="OJK1" s="434"/>
      <c r="OJL1" s="434"/>
      <c r="OJM1" s="434"/>
      <c r="OJN1" s="434"/>
      <c r="OJO1" s="434"/>
      <c r="OJP1" s="434"/>
      <c r="OJQ1" s="434"/>
      <c r="OJR1" s="434"/>
      <c r="OJS1" s="434"/>
      <c r="OJT1" s="434"/>
      <c r="OJU1" s="434"/>
      <c r="OJV1" s="434"/>
      <c r="OJW1" s="434"/>
      <c r="OJX1" s="434"/>
      <c r="OJY1" s="434"/>
      <c r="OJZ1" s="434"/>
      <c r="OKA1" s="434"/>
      <c r="OKB1" s="434"/>
      <c r="OKC1" s="434"/>
      <c r="OKD1" s="434"/>
      <c r="OKE1" s="434"/>
      <c r="OKF1" s="434"/>
      <c r="OKG1" s="434"/>
      <c r="OKH1" s="434"/>
      <c r="OKI1" s="434"/>
      <c r="OKJ1" s="434"/>
      <c r="OKK1" s="434"/>
      <c r="OKL1" s="434"/>
      <c r="OKM1" s="434"/>
      <c r="OKN1" s="434"/>
      <c r="OKO1" s="434"/>
      <c r="OKP1" s="434"/>
      <c r="OKQ1" s="434"/>
      <c r="OKR1" s="434"/>
      <c r="OKS1" s="434"/>
      <c r="OKT1" s="434"/>
      <c r="OKU1" s="434"/>
      <c r="OKV1" s="434"/>
      <c r="OKW1" s="434"/>
      <c r="OKX1" s="434"/>
      <c r="OKY1" s="434"/>
      <c r="OKZ1" s="434"/>
      <c r="OLA1" s="434"/>
      <c r="OLB1" s="434"/>
      <c r="OLC1" s="434"/>
      <c r="OLD1" s="434"/>
      <c r="OLE1" s="434"/>
      <c r="OLF1" s="434"/>
      <c r="OLG1" s="434"/>
      <c r="OLH1" s="434"/>
      <c r="OLI1" s="434"/>
      <c r="OLJ1" s="434"/>
      <c r="OLK1" s="434"/>
      <c r="OLL1" s="434"/>
      <c r="OLM1" s="434"/>
      <c r="OLN1" s="434"/>
      <c r="OLO1" s="434"/>
      <c r="OLP1" s="434"/>
      <c r="OLQ1" s="434"/>
      <c r="OLR1" s="434"/>
      <c r="OLS1" s="434"/>
      <c r="OLT1" s="434"/>
      <c r="OLU1" s="434"/>
      <c r="OLV1" s="434"/>
      <c r="OLW1" s="434"/>
      <c r="OLX1" s="434"/>
      <c r="OLY1" s="434"/>
      <c r="OLZ1" s="434"/>
      <c r="OMA1" s="434"/>
      <c r="OMB1" s="434"/>
      <c r="OMC1" s="434"/>
      <c r="OMD1" s="434"/>
      <c r="OME1" s="434"/>
      <c r="OMF1" s="434"/>
      <c r="OMG1" s="434"/>
      <c r="OMH1" s="434"/>
      <c r="OMI1" s="434"/>
      <c r="OMJ1" s="434"/>
      <c r="OMK1" s="434"/>
      <c r="OML1" s="434"/>
      <c r="OMM1" s="434"/>
      <c r="OMN1" s="434"/>
      <c r="OMO1" s="434"/>
      <c r="OMP1" s="434"/>
      <c r="OMQ1" s="434"/>
      <c r="OMR1" s="434"/>
      <c r="OMS1" s="434"/>
      <c r="OMT1" s="434"/>
      <c r="OMU1" s="434"/>
      <c r="OMV1" s="434"/>
      <c r="OMW1" s="434"/>
      <c r="OMX1" s="434"/>
      <c r="OMY1" s="434"/>
      <c r="OMZ1" s="434"/>
      <c r="ONA1" s="434"/>
      <c r="ONB1" s="434"/>
      <c r="ONC1" s="434"/>
      <c r="OND1" s="434"/>
      <c r="ONE1" s="434"/>
      <c r="ONF1" s="434"/>
      <c r="ONG1" s="434"/>
      <c r="ONH1" s="434"/>
      <c r="ONI1" s="434"/>
      <c r="ONJ1" s="434"/>
      <c r="ONK1" s="434"/>
      <c r="ONL1" s="434"/>
      <c r="ONM1" s="434"/>
      <c r="ONN1" s="434"/>
      <c r="ONO1" s="434"/>
      <c r="ONP1" s="434"/>
      <c r="ONQ1" s="434"/>
      <c r="ONR1" s="434"/>
      <c r="ONS1" s="434"/>
      <c r="ONT1" s="434"/>
      <c r="ONU1" s="434"/>
      <c r="ONV1" s="434"/>
      <c r="ONW1" s="434"/>
      <c r="ONX1" s="434"/>
      <c r="ONY1" s="434"/>
      <c r="ONZ1" s="434"/>
      <c r="OOA1" s="434"/>
      <c r="OOB1" s="434"/>
      <c r="OOC1" s="434"/>
      <c r="OOD1" s="434"/>
      <c r="OOE1" s="434"/>
      <c r="OOF1" s="434"/>
      <c r="OOG1" s="434"/>
      <c r="OOH1" s="434"/>
      <c r="OOI1" s="434"/>
      <c r="OOJ1" s="434"/>
      <c r="OOK1" s="434"/>
      <c r="OOL1" s="434"/>
      <c r="OOM1" s="434"/>
      <c r="OON1" s="434"/>
      <c r="OOO1" s="434"/>
      <c r="OOP1" s="434"/>
      <c r="OOQ1" s="434"/>
      <c r="OOR1" s="434"/>
      <c r="OOS1" s="434"/>
      <c r="OOT1" s="434"/>
      <c r="OOU1" s="434"/>
      <c r="OOV1" s="434"/>
      <c r="OOW1" s="434"/>
      <c r="OOX1" s="434"/>
      <c r="OOY1" s="434"/>
      <c r="OOZ1" s="434"/>
      <c r="OPA1" s="434"/>
      <c r="OPB1" s="434"/>
      <c r="OPC1" s="434"/>
      <c r="OPD1" s="434"/>
      <c r="OPE1" s="434"/>
      <c r="OPF1" s="434"/>
      <c r="OPG1" s="434"/>
      <c r="OPH1" s="434"/>
      <c r="OPI1" s="434"/>
      <c r="OPJ1" s="434"/>
      <c r="OPK1" s="434"/>
      <c r="OPL1" s="434"/>
      <c r="OPM1" s="434"/>
      <c r="OPN1" s="434"/>
      <c r="OPO1" s="434"/>
      <c r="OPP1" s="434"/>
      <c r="OPQ1" s="434"/>
      <c r="OPR1" s="434"/>
      <c r="OPS1" s="434"/>
      <c r="OPT1" s="434"/>
      <c r="OPU1" s="434"/>
      <c r="OPV1" s="434"/>
      <c r="OPW1" s="434"/>
      <c r="OPX1" s="434"/>
      <c r="OPY1" s="434"/>
      <c r="OPZ1" s="434"/>
      <c r="OQA1" s="434"/>
      <c r="OQB1" s="434"/>
      <c r="OQC1" s="434"/>
      <c r="OQD1" s="434"/>
      <c r="OQE1" s="434"/>
      <c r="OQF1" s="434"/>
      <c r="OQG1" s="434"/>
      <c r="OQH1" s="434"/>
      <c r="OQI1" s="434"/>
      <c r="OQJ1" s="434"/>
      <c r="OQK1" s="434"/>
      <c r="OQL1" s="434"/>
      <c r="OQM1" s="434"/>
      <c r="OQN1" s="434"/>
      <c r="OQO1" s="434"/>
      <c r="OQP1" s="434"/>
      <c r="OQQ1" s="434"/>
      <c r="OQR1" s="434"/>
      <c r="OQS1" s="434"/>
      <c r="OQT1" s="434"/>
      <c r="OQU1" s="434"/>
      <c r="OQV1" s="434"/>
      <c r="OQW1" s="434"/>
      <c r="OQX1" s="434"/>
      <c r="OQY1" s="434"/>
      <c r="OQZ1" s="434"/>
      <c r="ORA1" s="434"/>
      <c r="ORB1" s="434"/>
      <c r="ORC1" s="434"/>
      <c r="ORD1" s="434"/>
      <c r="ORE1" s="434"/>
      <c r="ORF1" s="434"/>
      <c r="ORG1" s="434"/>
      <c r="ORH1" s="434"/>
      <c r="ORI1" s="434"/>
      <c r="ORJ1" s="434"/>
      <c r="ORK1" s="434"/>
      <c r="ORL1" s="434"/>
      <c r="ORM1" s="434"/>
      <c r="ORN1" s="434"/>
      <c r="ORO1" s="434"/>
      <c r="ORP1" s="434"/>
      <c r="ORQ1" s="434"/>
      <c r="ORR1" s="434"/>
      <c r="ORS1" s="434"/>
      <c r="ORT1" s="434"/>
      <c r="ORU1" s="434"/>
      <c r="ORV1" s="434"/>
      <c r="ORW1" s="434"/>
      <c r="ORX1" s="434"/>
      <c r="ORY1" s="434"/>
      <c r="ORZ1" s="434"/>
      <c r="OSA1" s="434"/>
      <c r="OSB1" s="434"/>
      <c r="OSC1" s="434"/>
      <c r="OSD1" s="434"/>
      <c r="OSE1" s="434"/>
      <c r="OSF1" s="434"/>
      <c r="OSG1" s="434"/>
      <c r="OSH1" s="434"/>
      <c r="OSI1" s="434"/>
      <c r="OSJ1" s="434"/>
      <c r="OSK1" s="434"/>
      <c r="OSL1" s="434"/>
      <c r="OSM1" s="434"/>
      <c r="OSN1" s="434"/>
      <c r="OSO1" s="434"/>
      <c r="OSP1" s="434"/>
      <c r="OSQ1" s="434"/>
      <c r="OSR1" s="434"/>
      <c r="OSS1" s="434"/>
      <c r="OST1" s="434"/>
      <c r="OSU1" s="434"/>
      <c r="OSV1" s="434"/>
      <c r="OSW1" s="434"/>
      <c r="OSX1" s="434"/>
      <c r="OSY1" s="434"/>
      <c r="OSZ1" s="434"/>
      <c r="OTA1" s="434"/>
      <c r="OTB1" s="434"/>
      <c r="OTC1" s="434"/>
      <c r="OTD1" s="434"/>
      <c r="OTE1" s="434"/>
      <c r="OTF1" s="434"/>
      <c r="OTG1" s="434"/>
      <c r="OTH1" s="434"/>
      <c r="OTI1" s="434"/>
      <c r="OTJ1" s="434"/>
      <c r="OTK1" s="434"/>
      <c r="OTL1" s="434"/>
      <c r="OTM1" s="434"/>
      <c r="OTN1" s="434"/>
      <c r="OTO1" s="434"/>
      <c r="OTP1" s="434"/>
      <c r="OTQ1" s="434"/>
      <c r="OTR1" s="434"/>
      <c r="OTS1" s="434"/>
      <c r="OTT1" s="434"/>
      <c r="OTU1" s="434"/>
      <c r="OTV1" s="434"/>
      <c r="OTW1" s="434"/>
      <c r="OTX1" s="434"/>
      <c r="OTY1" s="434"/>
      <c r="OTZ1" s="434"/>
      <c r="OUA1" s="434"/>
      <c r="OUB1" s="434"/>
      <c r="OUC1" s="434"/>
      <c r="OUD1" s="434"/>
      <c r="OUE1" s="434"/>
      <c r="OUF1" s="434"/>
      <c r="OUG1" s="434"/>
      <c r="OUH1" s="434"/>
      <c r="OUI1" s="434"/>
      <c r="OUJ1" s="434"/>
      <c r="OUK1" s="434"/>
      <c r="OUL1" s="434"/>
      <c r="OUM1" s="434"/>
      <c r="OUN1" s="434"/>
      <c r="OUO1" s="434"/>
      <c r="OUP1" s="434"/>
      <c r="OUQ1" s="434"/>
      <c r="OUR1" s="434"/>
      <c r="OUS1" s="434"/>
      <c r="OUT1" s="434"/>
      <c r="OUU1" s="434"/>
      <c r="OUV1" s="434"/>
      <c r="OUW1" s="434"/>
      <c r="OUX1" s="434"/>
      <c r="OUY1" s="434"/>
      <c r="OUZ1" s="434"/>
      <c r="OVA1" s="434"/>
      <c r="OVB1" s="434"/>
      <c r="OVC1" s="434"/>
      <c r="OVD1" s="434"/>
      <c r="OVE1" s="434"/>
      <c r="OVF1" s="434"/>
      <c r="OVG1" s="434"/>
      <c r="OVH1" s="434"/>
      <c r="OVI1" s="434"/>
      <c r="OVJ1" s="434"/>
      <c r="OVK1" s="434"/>
      <c r="OVL1" s="434"/>
      <c r="OVM1" s="434"/>
      <c r="OVN1" s="434"/>
      <c r="OVO1" s="434"/>
      <c r="OVP1" s="434"/>
      <c r="OVQ1" s="434"/>
      <c r="OVR1" s="434"/>
      <c r="OVS1" s="434"/>
      <c r="OVT1" s="434"/>
      <c r="OVU1" s="434"/>
      <c r="OVV1" s="434"/>
      <c r="OVW1" s="434"/>
      <c r="OVX1" s="434"/>
      <c r="OVY1" s="434"/>
      <c r="OVZ1" s="434"/>
      <c r="OWA1" s="434"/>
      <c r="OWB1" s="434"/>
      <c r="OWC1" s="434"/>
      <c r="OWD1" s="434"/>
      <c r="OWE1" s="434"/>
      <c r="OWF1" s="434"/>
      <c r="OWG1" s="434"/>
      <c r="OWH1" s="434"/>
      <c r="OWI1" s="434"/>
      <c r="OWJ1" s="434"/>
      <c r="OWK1" s="434"/>
      <c r="OWL1" s="434"/>
      <c r="OWM1" s="434"/>
      <c r="OWN1" s="434"/>
      <c r="OWO1" s="434"/>
      <c r="OWP1" s="434"/>
      <c r="OWQ1" s="434"/>
      <c r="OWR1" s="434"/>
      <c r="OWS1" s="434"/>
      <c r="OWT1" s="434"/>
      <c r="OWU1" s="434"/>
      <c r="OWV1" s="434"/>
      <c r="OWW1" s="434"/>
      <c r="OWX1" s="434"/>
      <c r="OWY1" s="434"/>
      <c r="OWZ1" s="434"/>
      <c r="OXA1" s="434"/>
      <c r="OXB1" s="434"/>
      <c r="OXC1" s="434"/>
      <c r="OXD1" s="434"/>
      <c r="OXE1" s="434"/>
      <c r="OXF1" s="434"/>
      <c r="OXG1" s="434"/>
      <c r="OXH1" s="434"/>
      <c r="OXI1" s="434"/>
      <c r="OXJ1" s="434"/>
      <c r="OXK1" s="434"/>
      <c r="OXL1" s="434"/>
      <c r="OXM1" s="434"/>
      <c r="OXN1" s="434"/>
      <c r="OXO1" s="434"/>
      <c r="OXP1" s="434"/>
      <c r="OXQ1" s="434"/>
      <c r="OXR1" s="434"/>
      <c r="OXS1" s="434"/>
      <c r="OXT1" s="434"/>
      <c r="OXU1" s="434"/>
      <c r="OXV1" s="434"/>
      <c r="OXW1" s="434"/>
      <c r="OXX1" s="434"/>
      <c r="OXY1" s="434"/>
      <c r="OXZ1" s="434"/>
      <c r="OYA1" s="434"/>
      <c r="OYB1" s="434"/>
      <c r="OYC1" s="434"/>
      <c r="OYD1" s="434"/>
      <c r="OYE1" s="434"/>
      <c r="OYF1" s="434"/>
      <c r="OYG1" s="434"/>
      <c r="OYH1" s="434"/>
      <c r="OYI1" s="434"/>
      <c r="OYJ1" s="434"/>
      <c r="OYK1" s="434"/>
      <c r="OYL1" s="434"/>
      <c r="OYM1" s="434"/>
      <c r="OYN1" s="434"/>
      <c r="OYO1" s="434"/>
      <c r="OYP1" s="434"/>
      <c r="OYQ1" s="434"/>
      <c r="OYR1" s="434"/>
      <c r="OYS1" s="434"/>
      <c r="OYT1" s="434"/>
      <c r="OYU1" s="434"/>
      <c r="OYV1" s="434"/>
      <c r="OYW1" s="434"/>
      <c r="OYX1" s="434"/>
      <c r="OYY1" s="434"/>
      <c r="OYZ1" s="434"/>
      <c r="OZA1" s="434"/>
      <c r="OZB1" s="434"/>
      <c r="OZC1" s="434"/>
      <c r="OZD1" s="434"/>
      <c r="OZE1" s="434"/>
      <c r="OZF1" s="434"/>
      <c r="OZG1" s="434"/>
      <c r="OZH1" s="434"/>
      <c r="OZI1" s="434"/>
      <c r="OZJ1" s="434"/>
      <c r="OZK1" s="434"/>
      <c r="OZL1" s="434"/>
      <c r="OZM1" s="434"/>
      <c r="OZN1" s="434"/>
      <c r="OZO1" s="434"/>
      <c r="OZP1" s="434"/>
      <c r="OZQ1" s="434"/>
      <c r="OZR1" s="434"/>
      <c r="OZS1" s="434"/>
      <c r="OZT1" s="434"/>
      <c r="OZU1" s="434"/>
      <c r="OZV1" s="434"/>
      <c r="OZW1" s="434"/>
      <c r="OZX1" s="434"/>
      <c r="OZY1" s="434"/>
      <c r="OZZ1" s="434"/>
      <c r="PAA1" s="434"/>
      <c r="PAB1" s="434"/>
      <c r="PAC1" s="434"/>
      <c r="PAD1" s="434"/>
      <c r="PAE1" s="434"/>
      <c r="PAF1" s="434"/>
      <c r="PAG1" s="434"/>
      <c r="PAH1" s="434"/>
      <c r="PAI1" s="434"/>
      <c r="PAJ1" s="434"/>
      <c r="PAK1" s="434"/>
      <c r="PAL1" s="434"/>
      <c r="PAM1" s="434"/>
      <c r="PAN1" s="434"/>
      <c r="PAO1" s="434"/>
      <c r="PAP1" s="434"/>
      <c r="PAQ1" s="434"/>
      <c r="PAR1" s="434"/>
      <c r="PAS1" s="434"/>
      <c r="PAT1" s="434"/>
      <c r="PAU1" s="434"/>
      <c r="PAV1" s="434"/>
      <c r="PAW1" s="434"/>
      <c r="PAX1" s="434"/>
      <c r="PAY1" s="434"/>
      <c r="PAZ1" s="434"/>
      <c r="PBA1" s="434"/>
      <c r="PBB1" s="434"/>
      <c r="PBC1" s="434"/>
      <c r="PBD1" s="434"/>
      <c r="PBE1" s="434"/>
      <c r="PBF1" s="434"/>
      <c r="PBG1" s="434"/>
      <c r="PBH1" s="434"/>
      <c r="PBI1" s="434"/>
      <c r="PBJ1" s="434"/>
      <c r="PBK1" s="434"/>
      <c r="PBL1" s="434"/>
      <c r="PBM1" s="434"/>
      <c r="PBN1" s="434"/>
      <c r="PBO1" s="434"/>
      <c r="PBP1" s="434"/>
      <c r="PBQ1" s="434"/>
      <c r="PBR1" s="434"/>
      <c r="PBS1" s="434"/>
      <c r="PBT1" s="434"/>
      <c r="PBU1" s="434"/>
      <c r="PBV1" s="434"/>
      <c r="PBW1" s="434"/>
      <c r="PBX1" s="434"/>
      <c r="PBY1" s="434"/>
      <c r="PBZ1" s="434"/>
      <c r="PCA1" s="434"/>
      <c r="PCB1" s="434"/>
      <c r="PCC1" s="434"/>
      <c r="PCD1" s="434"/>
      <c r="PCE1" s="434"/>
      <c r="PCF1" s="434"/>
      <c r="PCG1" s="434"/>
      <c r="PCH1" s="434"/>
      <c r="PCI1" s="434"/>
      <c r="PCJ1" s="434"/>
      <c r="PCK1" s="434"/>
      <c r="PCL1" s="434"/>
      <c r="PCM1" s="434"/>
      <c r="PCN1" s="434"/>
      <c r="PCO1" s="434"/>
      <c r="PCP1" s="434"/>
      <c r="PCQ1" s="434"/>
      <c r="PCR1" s="434"/>
      <c r="PCS1" s="434"/>
      <c r="PCT1" s="434"/>
      <c r="PCU1" s="434"/>
      <c r="PCV1" s="434"/>
      <c r="PCW1" s="434"/>
      <c r="PCX1" s="434"/>
      <c r="PCY1" s="434"/>
      <c r="PCZ1" s="434"/>
      <c r="PDA1" s="434"/>
      <c r="PDB1" s="434"/>
      <c r="PDC1" s="434"/>
      <c r="PDD1" s="434"/>
      <c r="PDE1" s="434"/>
      <c r="PDF1" s="434"/>
      <c r="PDG1" s="434"/>
      <c r="PDH1" s="434"/>
      <c r="PDI1" s="434"/>
      <c r="PDJ1" s="434"/>
      <c r="PDK1" s="434"/>
      <c r="PDL1" s="434"/>
      <c r="PDM1" s="434"/>
      <c r="PDN1" s="434"/>
      <c r="PDO1" s="434"/>
      <c r="PDP1" s="434"/>
      <c r="PDQ1" s="434"/>
      <c r="PDR1" s="434"/>
      <c r="PDS1" s="434"/>
      <c r="PDT1" s="434"/>
      <c r="PDU1" s="434"/>
      <c r="PDV1" s="434"/>
      <c r="PDW1" s="434"/>
      <c r="PDX1" s="434"/>
      <c r="PDY1" s="434"/>
      <c r="PDZ1" s="434"/>
      <c r="PEA1" s="434"/>
      <c r="PEB1" s="434"/>
      <c r="PEC1" s="434"/>
      <c r="PED1" s="434"/>
      <c r="PEE1" s="434"/>
      <c r="PEF1" s="434"/>
      <c r="PEG1" s="434"/>
      <c r="PEH1" s="434"/>
      <c r="PEI1" s="434"/>
      <c r="PEJ1" s="434"/>
      <c r="PEK1" s="434"/>
      <c r="PEL1" s="434"/>
      <c r="PEM1" s="434"/>
      <c r="PEN1" s="434"/>
      <c r="PEO1" s="434"/>
      <c r="PEP1" s="434"/>
      <c r="PEQ1" s="434"/>
      <c r="PER1" s="434"/>
      <c r="PES1" s="434"/>
      <c r="PET1" s="434"/>
      <c r="PEU1" s="434"/>
      <c r="PEV1" s="434"/>
      <c r="PEW1" s="434"/>
      <c r="PEX1" s="434"/>
      <c r="PEY1" s="434"/>
      <c r="PEZ1" s="434"/>
      <c r="PFA1" s="434"/>
      <c r="PFB1" s="434"/>
      <c r="PFC1" s="434"/>
      <c r="PFD1" s="434"/>
      <c r="PFE1" s="434"/>
      <c r="PFF1" s="434"/>
      <c r="PFG1" s="434"/>
      <c r="PFH1" s="434"/>
      <c r="PFI1" s="434"/>
      <c r="PFJ1" s="434"/>
      <c r="PFK1" s="434"/>
      <c r="PFL1" s="434"/>
      <c r="PFM1" s="434"/>
      <c r="PFN1" s="434"/>
      <c r="PFO1" s="434"/>
      <c r="PFP1" s="434"/>
      <c r="PFQ1" s="434"/>
      <c r="PFR1" s="434"/>
      <c r="PFS1" s="434"/>
      <c r="PFT1" s="434"/>
      <c r="PFU1" s="434"/>
      <c r="PFV1" s="434"/>
      <c r="PFW1" s="434"/>
      <c r="PFX1" s="434"/>
      <c r="PFY1" s="434"/>
      <c r="PFZ1" s="434"/>
      <c r="PGA1" s="434"/>
      <c r="PGB1" s="434"/>
      <c r="PGC1" s="434"/>
      <c r="PGD1" s="434"/>
      <c r="PGE1" s="434"/>
      <c r="PGF1" s="434"/>
      <c r="PGG1" s="434"/>
      <c r="PGH1" s="434"/>
      <c r="PGI1" s="434"/>
      <c r="PGJ1" s="434"/>
      <c r="PGK1" s="434"/>
      <c r="PGL1" s="434"/>
      <c r="PGM1" s="434"/>
      <c r="PGN1" s="434"/>
      <c r="PGO1" s="434"/>
      <c r="PGP1" s="434"/>
      <c r="PGQ1" s="434"/>
      <c r="PGR1" s="434"/>
      <c r="PGS1" s="434"/>
      <c r="PGT1" s="434"/>
      <c r="PGU1" s="434"/>
      <c r="PGV1" s="434"/>
      <c r="PGW1" s="434"/>
      <c r="PGX1" s="434"/>
      <c r="PGY1" s="434"/>
      <c r="PGZ1" s="434"/>
      <c r="PHA1" s="434"/>
      <c r="PHB1" s="434"/>
      <c r="PHC1" s="434"/>
      <c r="PHD1" s="434"/>
      <c r="PHE1" s="434"/>
      <c r="PHF1" s="434"/>
      <c r="PHG1" s="434"/>
      <c r="PHH1" s="434"/>
      <c r="PHI1" s="434"/>
      <c r="PHJ1" s="434"/>
      <c r="PHK1" s="434"/>
      <c r="PHL1" s="434"/>
      <c r="PHM1" s="434"/>
      <c r="PHN1" s="434"/>
      <c r="PHO1" s="434"/>
      <c r="PHP1" s="434"/>
      <c r="PHQ1" s="434"/>
      <c r="PHR1" s="434"/>
      <c r="PHS1" s="434"/>
      <c r="PHT1" s="434"/>
      <c r="PHU1" s="434"/>
      <c r="PHV1" s="434"/>
      <c r="PHW1" s="434"/>
      <c r="PHX1" s="434"/>
      <c r="PHY1" s="434"/>
      <c r="PHZ1" s="434"/>
      <c r="PIA1" s="434"/>
      <c r="PIB1" s="434"/>
      <c r="PIC1" s="434"/>
      <c r="PID1" s="434"/>
      <c r="PIE1" s="434"/>
      <c r="PIF1" s="434"/>
      <c r="PIG1" s="434"/>
      <c r="PIH1" s="434"/>
      <c r="PII1" s="434"/>
      <c r="PIJ1" s="434"/>
      <c r="PIK1" s="434"/>
      <c r="PIL1" s="434"/>
      <c r="PIM1" s="434"/>
      <c r="PIN1" s="434"/>
      <c r="PIO1" s="434"/>
      <c r="PIP1" s="434"/>
      <c r="PIQ1" s="434"/>
      <c r="PIR1" s="434"/>
      <c r="PIS1" s="434"/>
      <c r="PIT1" s="434"/>
      <c r="PIU1" s="434"/>
      <c r="PIV1" s="434"/>
      <c r="PIW1" s="434"/>
      <c r="PIX1" s="434"/>
      <c r="PIY1" s="434"/>
      <c r="PIZ1" s="434"/>
      <c r="PJA1" s="434"/>
      <c r="PJB1" s="434"/>
      <c r="PJC1" s="434"/>
      <c r="PJD1" s="434"/>
      <c r="PJE1" s="434"/>
      <c r="PJF1" s="434"/>
      <c r="PJG1" s="434"/>
      <c r="PJH1" s="434"/>
      <c r="PJI1" s="434"/>
      <c r="PJJ1" s="434"/>
      <c r="PJK1" s="434"/>
      <c r="PJL1" s="434"/>
      <c r="PJM1" s="434"/>
      <c r="PJN1" s="434"/>
      <c r="PJO1" s="434"/>
      <c r="PJP1" s="434"/>
      <c r="PJQ1" s="434"/>
      <c r="PJR1" s="434"/>
      <c r="PJS1" s="434"/>
      <c r="PJT1" s="434"/>
      <c r="PJU1" s="434"/>
      <c r="PJV1" s="434"/>
      <c r="PJW1" s="434"/>
      <c r="PJX1" s="434"/>
      <c r="PJY1" s="434"/>
      <c r="PJZ1" s="434"/>
      <c r="PKA1" s="434"/>
      <c r="PKB1" s="434"/>
      <c r="PKC1" s="434"/>
      <c r="PKD1" s="434"/>
      <c r="PKE1" s="434"/>
      <c r="PKF1" s="434"/>
      <c r="PKG1" s="434"/>
      <c r="PKH1" s="434"/>
      <c r="PKI1" s="434"/>
      <c r="PKJ1" s="434"/>
      <c r="PKK1" s="434"/>
      <c r="PKL1" s="434"/>
      <c r="PKM1" s="434"/>
      <c r="PKN1" s="434"/>
      <c r="PKO1" s="434"/>
      <c r="PKP1" s="434"/>
      <c r="PKQ1" s="434"/>
      <c r="PKR1" s="434"/>
      <c r="PKS1" s="434"/>
      <c r="PKT1" s="434"/>
      <c r="PKU1" s="434"/>
      <c r="PKV1" s="434"/>
      <c r="PKW1" s="434"/>
      <c r="PKX1" s="434"/>
      <c r="PKY1" s="434"/>
      <c r="PKZ1" s="434"/>
      <c r="PLA1" s="434"/>
      <c r="PLB1" s="434"/>
      <c r="PLC1" s="434"/>
      <c r="PLD1" s="434"/>
      <c r="PLE1" s="434"/>
      <c r="PLF1" s="434"/>
      <c r="PLG1" s="434"/>
      <c r="PLH1" s="434"/>
      <c r="PLI1" s="434"/>
      <c r="PLJ1" s="434"/>
      <c r="PLK1" s="434"/>
      <c r="PLL1" s="434"/>
      <c r="PLM1" s="434"/>
      <c r="PLN1" s="434"/>
      <c r="PLO1" s="434"/>
      <c r="PLP1" s="434"/>
      <c r="PLQ1" s="434"/>
      <c r="PLR1" s="434"/>
      <c r="PLS1" s="434"/>
      <c r="PLT1" s="434"/>
      <c r="PLU1" s="434"/>
      <c r="PLV1" s="434"/>
      <c r="PLW1" s="434"/>
      <c r="PLX1" s="434"/>
      <c r="PLY1" s="434"/>
      <c r="PLZ1" s="434"/>
      <c r="PMA1" s="434"/>
      <c r="PMB1" s="434"/>
      <c r="PMC1" s="434"/>
      <c r="PMD1" s="434"/>
      <c r="PME1" s="434"/>
      <c r="PMF1" s="434"/>
      <c r="PMG1" s="434"/>
      <c r="PMH1" s="434"/>
      <c r="PMI1" s="434"/>
      <c r="PMJ1" s="434"/>
      <c r="PMK1" s="434"/>
      <c r="PML1" s="434"/>
      <c r="PMM1" s="434"/>
      <c r="PMN1" s="434"/>
      <c r="PMO1" s="434"/>
      <c r="PMP1" s="434"/>
      <c r="PMQ1" s="434"/>
      <c r="PMR1" s="434"/>
      <c r="PMS1" s="434"/>
      <c r="PMT1" s="434"/>
      <c r="PMU1" s="434"/>
      <c r="PMV1" s="434"/>
      <c r="PMW1" s="434"/>
      <c r="PMX1" s="434"/>
      <c r="PMY1" s="434"/>
      <c r="PMZ1" s="434"/>
      <c r="PNA1" s="434"/>
      <c r="PNB1" s="434"/>
      <c r="PNC1" s="434"/>
      <c r="PND1" s="434"/>
      <c r="PNE1" s="434"/>
      <c r="PNF1" s="434"/>
      <c r="PNG1" s="434"/>
      <c r="PNH1" s="434"/>
      <c r="PNI1" s="434"/>
      <c r="PNJ1" s="434"/>
      <c r="PNK1" s="434"/>
      <c r="PNL1" s="434"/>
      <c r="PNM1" s="434"/>
      <c r="PNN1" s="434"/>
      <c r="PNO1" s="434"/>
      <c r="PNP1" s="434"/>
      <c r="PNQ1" s="434"/>
      <c r="PNR1" s="434"/>
      <c r="PNS1" s="434"/>
      <c r="PNT1" s="434"/>
      <c r="PNU1" s="434"/>
      <c r="PNV1" s="434"/>
      <c r="PNW1" s="434"/>
      <c r="PNX1" s="434"/>
      <c r="PNY1" s="434"/>
      <c r="PNZ1" s="434"/>
      <c r="POA1" s="434"/>
      <c r="POB1" s="434"/>
      <c r="POC1" s="434"/>
      <c r="POD1" s="434"/>
      <c r="POE1" s="434"/>
      <c r="POF1" s="434"/>
      <c r="POG1" s="434"/>
      <c r="POH1" s="434"/>
      <c r="POI1" s="434"/>
      <c r="POJ1" s="434"/>
      <c r="POK1" s="434"/>
      <c r="POL1" s="434"/>
      <c r="POM1" s="434"/>
      <c r="PON1" s="434"/>
      <c r="POO1" s="434"/>
      <c r="POP1" s="434"/>
      <c r="POQ1" s="434"/>
      <c r="POR1" s="434"/>
      <c r="POS1" s="434"/>
      <c r="POT1" s="434"/>
      <c r="POU1" s="434"/>
      <c r="POV1" s="434"/>
      <c r="POW1" s="434"/>
      <c r="POX1" s="434"/>
      <c r="POY1" s="434"/>
      <c r="POZ1" s="434"/>
      <c r="PPA1" s="434"/>
      <c r="PPB1" s="434"/>
      <c r="PPC1" s="434"/>
      <c r="PPD1" s="434"/>
      <c r="PPE1" s="434"/>
      <c r="PPF1" s="434"/>
      <c r="PPG1" s="434"/>
      <c r="PPH1" s="434"/>
      <c r="PPI1" s="434"/>
      <c r="PPJ1" s="434"/>
      <c r="PPK1" s="434"/>
      <c r="PPL1" s="434"/>
      <c r="PPM1" s="434"/>
      <c r="PPN1" s="434"/>
      <c r="PPO1" s="434"/>
      <c r="PPP1" s="434"/>
      <c r="PPQ1" s="434"/>
      <c r="PPR1" s="434"/>
      <c r="PPS1" s="434"/>
      <c r="PPT1" s="434"/>
      <c r="PPU1" s="434"/>
      <c r="PPV1" s="434"/>
      <c r="PPW1" s="434"/>
      <c r="PPX1" s="434"/>
      <c r="PPY1" s="434"/>
      <c r="PPZ1" s="434"/>
      <c r="PQA1" s="434"/>
      <c r="PQB1" s="434"/>
      <c r="PQC1" s="434"/>
      <c r="PQD1" s="434"/>
      <c r="PQE1" s="434"/>
      <c r="PQF1" s="434"/>
      <c r="PQG1" s="434"/>
      <c r="PQH1" s="434"/>
      <c r="PQI1" s="434"/>
      <c r="PQJ1" s="434"/>
      <c r="PQK1" s="434"/>
      <c r="PQL1" s="434"/>
      <c r="PQM1" s="434"/>
      <c r="PQN1" s="434"/>
      <c r="PQO1" s="434"/>
      <c r="PQP1" s="434"/>
      <c r="PQQ1" s="434"/>
      <c r="PQR1" s="434"/>
      <c r="PQS1" s="434"/>
      <c r="PQT1" s="434"/>
      <c r="PQU1" s="434"/>
      <c r="PQV1" s="434"/>
      <c r="PQW1" s="434"/>
      <c r="PQX1" s="434"/>
      <c r="PQY1" s="434"/>
      <c r="PQZ1" s="434"/>
      <c r="PRA1" s="434"/>
      <c r="PRB1" s="434"/>
      <c r="PRC1" s="434"/>
      <c r="PRD1" s="434"/>
      <c r="PRE1" s="434"/>
      <c r="PRF1" s="434"/>
      <c r="PRG1" s="434"/>
      <c r="PRH1" s="434"/>
      <c r="PRI1" s="434"/>
      <c r="PRJ1" s="434"/>
      <c r="PRK1" s="434"/>
      <c r="PRL1" s="434"/>
      <c r="PRM1" s="434"/>
      <c r="PRN1" s="434"/>
      <c r="PRO1" s="434"/>
      <c r="PRP1" s="434"/>
      <c r="PRQ1" s="434"/>
      <c r="PRR1" s="434"/>
      <c r="PRS1" s="434"/>
      <c r="PRT1" s="434"/>
      <c r="PRU1" s="434"/>
      <c r="PRV1" s="434"/>
      <c r="PRW1" s="434"/>
      <c r="PRX1" s="434"/>
      <c r="PRY1" s="434"/>
      <c r="PRZ1" s="434"/>
      <c r="PSA1" s="434"/>
      <c r="PSB1" s="434"/>
      <c r="PSC1" s="434"/>
      <c r="PSD1" s="434"/>
      <c r="PSE1" s="434"/>
      <c r="PSF1" s="434"/>
      <c r="PSG1" s="434"/>
      <c r="PSH1" s="434"/>
      <c r="PSI1" s="434"/>
      <c r="PSJ1" s="434"/>
      <c r="PSK1" s="434"/>
      <c r="PSL1" s="434"/>
      <c r="PSM1" s="434"/>
      <c r="PSN1" s="434"/>
      <c r="PSO1" s="434"/>
      <c r="PSP1" s="434"/>
      <c r="PSQ1" s="434"/>
      <c r="PSR1" s="434"/>
      <c r="PSS1" s="434"/>
      <c r="PST1" s="434"/>
      <c r="PSU1" s="434"/>
      <c r="PSV1" s="434"/>
      <c r="PSW1" s="434"/>
      <c r="PSX1" s="434"/>
      <c r="PSY1" s="434"/>
      <c r="PSZ1" s="434"/>
      <c r="PTA1" s="434"/>
      <c r="PTB1" s="434"/>
      <c r="PTC1" s="434"/>
      <c r="PTD1" s="434"/>
      <c r="PTE1" s="434"/>
      <c r="PTF1" s="434"/>
      <c r="PTG1" s="434"/>
      <c r="PTH1" s="434"/>
      <c r="PTI1" s="434"/>
      <c r="PTJ1" s="434"/>
      <c r="PTK1" s="434"/>
      <c r="PTL1" s="434"/>
      <c r="PTM1" s="434"/>
      <c r="PTN1" s="434"/>
      <c r="PTO1" s="434"/>
      <c r="PTP1" s="434"/>
      <c r="PTQ1" s="434"/>
      <c r="PTR1" s="434"/>
      <c r="PTS1" s="434"/>
      <c r="PTT1" s="434"/>
      <c r="PTU1" s="434"/>
      <c r="PTV1" s="434"/>
      <c r="PTW1" s="434"/>
      <c r="PTX1" s="434"/>
      <c r="PTY1" s="434"/>
      <c r="PTZ1" s="434"/>
      <c r="PUA1" s="434"/>
      <c r="PUB1" s="434"/>
      <c r="PUC1" s="434"/>
      <c r="PUD1" s="434"/>
      <c r="PUE1" s="434"/>
      <c r="PUF1" s="434"/>
      <c r="PUG1" s="434"/>
      <c r="PUH1" s="434"/>
      <c r="PUI1" s="434"/>
      <c r="PUJ1" s="434"/>
      <c r="PUK1" s="434"/>
      <c r="PUL1" s="434"/>
      <c r="PUM1" s="434"/>
      <c r="PUN1" s="434"/>
      <c r="PUO1" s="434"/>
      <c r="PUP1" s="434"/>
      <c r="PUQ1" s="434"/>
      <c r="PUR1" s="434"/>
      <c r="PUS1" s="434"/>
      <c r="PUT1" s="434"/>
      <c r="PUU1" s="434"/>
      <c r="PUV1" s="434"/>
      <c r="PUW1" s="434"/>
      <c r="PUX1" s="434"/>
      <c r="PUY1" s="434"/>
      <c r="PUZ1" s="434"/>
      <c r="PVA1" s="434"/>
      <c r="PVB1" s="434"/>
      <c r="PVC1" s="434"/>
      <c r="PVD1" s="434"/>
      <c r="PVE1" s="434"/>
      <c r="PVF1" s="434"/>
      <c r="PVG1" s="434"/>
      <c r="PVH1" s="434"/>
      <c r="PVI1" s="434"/>
      <c r="PVJ1" s="434"/>
      <c r="PVK1" s="434"/>
      <c r="PVL1" s="434"/>
      <c r="PVM1" s="434"/>
      <c r="PVN1" s="434"/>
      <c r="PVO1" s="434"/>
      <c r="PVP1" s="434"/>
      <c r="PVQ1" s="434"/>
      <c r="PVR1" s="434"/>
      <c r="PVS1" s="434"/>
      <c r="PVT1" s="434"/>
      <c r="PVU1" s="434"/>
      <c r="PVV1" s="434"/>
      <c r="PVW1" s="434"/>
      <c r="PVX1" s="434"/>
      <c r="PVY1" s="434"/>
      <c r="PVZ1" s="434"/>
      <c r="PWA1" s="434"/>
      <c r="PWB1" s="434"/>
      <c r="PWC1" s="434"/>
      <c r="PWD1" s="434"/>
      <c r="PWE1" s="434"/>
      <c r="PWF1" s="434"/>
      <c r="PWG1" s="434"/>
      <c r="PWH1" s="434"/>
      <c r="PWI1" s="434"/>
      <c r="PWJ1" s="434"/>
      <c r="PWK1" s="434"/>
      <c r="PWL1" s="434"/>
      <c r="PWM1" s="434"/>
      <c r="PWN1" s="434"/>
      <c r="PWO1" s="434"/>
      <c r="PWP1" s="434"/>
      <c r="PWQ1" s="434"/>
      <c r="PWR1" s="434"/>
      <c r="PWS1" s="434"/>
      <c r="PWT1" s="434"/>
      <c r="PWU1" s="434"/>
      <c r="PWV1" s="434"/>
      <c r="PWW1" s="434"/>
      <c r="PWX1" s="434"/>
      <c r="PWY1" s="434"/>
      <c r="PWZ1" s="434"/>
      <c r="PXA1" s="434"/>
      <c r="PXB1" s="434"/>
      <c r="PXC1" s="434"/>
      <c r="PXD1" s="434"/>
      <c r="PXE1" s="434"/>
      <c r="PXF1" s="434"/>
      <c r="PXG1" s="434"/>
      <c r="PXH1" s="434"/>
      <c r="PXI1" s="434"/>
      <c r="PXJ1" s="434"/>
      <c r="PXK1" s="434"/>
      <c r="PXL1" s="434"/>
      <c r="PXM1" s="434"/>
      <c r="PXN1" s="434"/>
      <c r="PXO1" s="434"/>
      <c r="PXP1" s="434"/>
      <c r="PXQ1" s="434"/>
      <c r="PXR1" s="434"/>
      <c r="PXS1" s="434"/>
      <c r="PXT1" s="434"/>
      <c r="PXU1" s="434"/>
      <c r="PXV1" s="434"/>
      <c r="PXW1" s="434"/>
      <c r="PXX1" s="434"/>
      <c r="PXY1" s="434"/>
      <c r="PXZ1" s="434"/>
      <c r="PYA1" s="434"/>
      <c r="PYB1" s="434"/>
      <c r="PYC1" s="434"/>
      <c r="PYD1" s="434"/>
      <c r="PYE1" s="434"/>
      <c r="PYF1" s="434"/>
      <c r="PYG1" s="434"/>
      <c r="PYH1" s="434"/>
      <c r="PYI1" s="434"/>
      <c r="PYJ1" s="434"/>
      <c r="PYK1" s="434"/>
      <c r="PYL1" s="434"/>
      <c r="PYM1" s="434"/>
      <c r="PYN1" s="434"/>
      <c r="PYO1" s="434"/>
      <c r="PYP1" s="434"/>
      <c r="PYQ1" s="434"/>
      <c r="PYR1" s="434"/>
      <c r="PYS1" s="434"/>
      <c r="PYT1" s="434"/>
      <c r="PYU1" s="434"/>
      <c r="PYV1" s="434"/>
      <c r="PYW1" s="434"/>
      <c r="PYX1" s="434"/>
      <c r="PYY1" s="434"/>
      <c r="PYZ1" s="434"/>
      <c r="PZA1" s="434"/>
      <c r="PZB1" s="434"/>
      <c r="PZC1" s="434"/>
      <c r="PZD1" s="434"/>
      <c r="PZE1" s="434"/>
      <c r="PZF1" s="434"/>
      <c r="PZG1" s="434"/>
      <c r="PZH1" s="434"/>
      <c r="PZI1" s="434"/>
      <c r="PZJ1" s="434"/>
      <c r="PZK1" s="434"/>
      <c r="PZL1" s="434"/>
      <c r="PZM1" s="434"/>
      <c r="PZN1" s="434"/>
      <c r="PZO1" s="434"/>
      <c r="PZP1" s="434"/>
      <c r="PZQ1" s="434"/>
      <c r="PZR1" s="434"/>
      <c r="PZS1" s="434"/>
      <c r="PZT1" s="434"/>
      <c r="PZU1" s="434"/>
      <c r="PZV1" s="434"/>
      <c r="PZW1" s="434"/>
      <c r="PZX1" s="434"/>
      <c r="PZY1" s="434"/>
      <c r="PZZ1" s="434"/>
      <c r="QAA1" s="434"/>
      <c r="QAB1" s="434"/>
      <c r="QAC1" s="434"/>
      <c r="QAD1" s="434"/>
      <c r="QAE1" s="434"/>
      <c r="QAF1" s="434"/>
      <c r="QAG1" s="434"/>
      <c r="QAH1" s="434"/>
      <c r="QAI1" s="434"/>
      <c r="QAJ1" s="434"/>
      <c r="QAK1" s="434"/>
      <c r="QAL1" s="434"/>
      <c r="QAM1" s="434"/>
      <c r="QAN1" s="434"/>
      <c r="QAO1" s="434"/>
      <c r="QAP1" s="434"/>
      <c r="QAQ1" s="434"/>
      <c r="QAR1" s="434"/>
      <c r="QAS1" s="434"/>
      <c r="QAT1" s="434"/>
      <c r="QAU1" s="434"/>
      <c r="QAV1" s="434"/>
      <c r="QAW1" s="434"/>
      <c r="QAX1" s="434"/>
      <c r="QAY1" s="434"/>
      <c r="QAZ1" s="434"/>
      <c r="QBA1" s="434"/>
      <c r="QBB1" s="434"/>
      <c r="QBC1" s="434"/>
      <c r="QBD1" s="434"/>
      <c r="QBE1" s="434"/>
      <c r="QBF1" s="434"/>
      <c r="QBG1" s="434"/>
      <c r="QBH1" s="434"/>
      <c r="QBI1" s="434"/>
      <c r="QBJ1" s="434"/>
      <c r="QBK1" s="434"/>
      <c r="QBL1" s="434"/>
      <c r="QBM1" s="434"/>
      <c r="QBN1" s="434"/>
      <c r="QBO1" s="434"/>
      <c r="QBP1" s="434"/>
      <c r="QBQ1" s="434"/>
      <c r="QBR1" s="434"/>
      <c r="QBS1" s="434"/>
      <c r="QBT1" s="434"/>
      <c r="QBU1" s="434"/>
      <c r="QBV1" s="434"/>
      <c r="QBW1" s="434"/>
      <c r="QBX1" s="434"/>
      <c r="QBY1" s="434"/>
      <c r="QBZ1" s="434"/>
      <c r="QCA1" s="434"/>
      <c r="QCB1" s="434"/>
      <c r="QCC1" s="434"/>
      <c r="QCD1" s="434"/>
      <c r="QCE1" s="434"/>
      <c r="QCF1" s="434"/>
      <c r="QCG1" s="434"/>
      <c r="QCH1" s="434"/>
      <c r="QCI1" s="434"/>
      <c r="QCJ1" s="434"/>
      <c r="QCK1" s="434"/>
      <c r="QCL1" s="434"/>
      <c r="QCM1" s="434"/>
      <c r="QCN1" s="434"/>
      <c r="QCO1" s="434"/>
      <c r="QCP1" s="434"/>
      <c r="QCQ1" s="434"/>
      <c r="QCR1" s="434"/>
      <c r="QCS1" s="434"/>
      <c r="QCT1" s="434"/>
      <c r="QCU1" s="434"/>
      <c r="QCV1" s="434"/>
      <c r="QCW1" s="434"/>
      <c r="QCX1" s="434"/>
      <c r="QCY1" s="434"/>
      <c r="QCZ1" s="434"/>
      <c r="QDA1" s="434"/>
      <c r="QDB1" s="434"/>
      <c r="QDC1" s="434"/>
      <c r="QDD1" s="434"/>
      <c r="QDE1" s="434"/>
      <c r="QDF1" s="434"/>
      <c r="QDG1" s="434"/>
      <c r="QDH1" s="434"/>
      <c r="QDI1" s="434"/>
      <c r="QDJ1" s="434"/>
      <c r="QDK1" s="434"/>
      <c r="QDL1" s="434"/>
      <c r="QDM1" s="434"/>
      <c r="QDN1" s="434"/>
      <c r="QDO1" s="434"/>
      <c r="QDP1" s="434"/>
      <c r="QDQ1" s="434"/>
      <c r="QDR1" s="434"/>
      <c r="QDS1" s="434"/>
      <c r="QDT1" s="434"/>
      <c r="QDU1" s="434"/>
      <c r="QDV1" s="434"/>
      <c r="QDW1" s="434"/>
      <c r="QDX1" s="434"/>
      <c r="QDY1" s="434"/>
      <c r="QDZ1" s="434"/>
      <c r="QEA1" s="434"/>
      <c r="QEB1" s="434"/>
      <c r="QEC1" s="434"/>
      <c r="QED1" s="434"/>
      <c r="QEE1" s="434"/>
      <c r="QEF1" s="434"/>
      <c r="QEG1" s="434"/>
      <c r="QEH1" s="434"/>
      <c r="QEI1" s="434"/>
      <c r="QEJ1" s="434"/>
      <c r="QEK1" s="434"/>
      <c r="QEL1" s="434"/>
      <c r="QEM1" s="434"/>
      <c r="QEN1" s="434"/>
      <c r="QEO1" s="434"/>
      <c r="QEP1" s="434"/>
      <c r="QEQ1" s="434"/>
      <c r="QER1" s="434"/>
      <c r="QES1" s="434"/>
      <c r="QET1" s="434"/>
      <c r="QEU1" s="434"/>
      <c r="QEV1" s="434"/>
      <c r="QEW1" s="434"/>
      <c r="QEX1" s="434"/>
      <c r="QEY1" s="434"/>
      <c r="QEZ1" s="434"/>
      <c r="QFA1" s="434"/>
      <c r="QFB1" s="434"/>
      <c r="QFC1" s="434"/>
      <c r="QFD1" s="434"/>
      <c r="QFE1" s="434"/>
      <c r="QFF1" s="434"/>
      <c r="QFG1" s="434"/>
      <c r="QFH1" s="434"/>
      <c r="QFI1" s="434"/>
      <c r="QFJ1" s="434"/>
      <c r="QFK1" s="434"/>
      <c r="QFL1" s="434"/>
      <c r="QFM1" s="434"/>
      <c r="QFN1" s="434"/>
      <c r="QFO1" s="434"/>
      <c r="QFP1" s="434"/>
      <c r="QFQ1" s="434"/>
      <c r="QFR1" s="434"/>
      <c r="QFS1" s="434"/>
      <c r="QFT1" s="434"/>
      <c r="QFU1" s="434"/>
      <c r="QFV1" s="434"/>
      <c r="QFW1" s="434"/>
      <c r="QFX1" s="434"/>
      <c r="QFY1" s="434"/>
      <c r="QFZ1" s="434"/>
      <c r="QGA1" s="434"/>
      <c r="QGB1" s="434"/>
      <c r="QGC1" s="434"/>
      <c r="QGD1" s="434"/>
      <c r="QGE1" s="434"/>
      <c r="QGF1" s="434"/>
      <c r="QGG1" s="434"/>
      <c r="QGH1" s="434"/>
      <c r="QGI1" s="434"/>
      <c r="QGJ1" s="434"/>
      <c r="QGK1" s="434"/>
      <c r="QGL1" s="434"/>
      <c r="QGM1" s="434"/>
      <c r="QGN1" s="434"/>
      <c r="QGO1" s="434"/>
      <c r="QGP1" s="434"/>
      <c r="QGQ1" s="434"/>
      <c r="QGR1" s="434"/>
      <c r="QGS1" s="434"/>
      <c r="QGT1" s="434"/>
      <c r="QGU1" s="434"/>
      <c r="QGV1" s="434"/>
      <c r="QGW1" s="434"/>
      <c r="QGX1" s="434"/>
      <c r="QGY1" s="434"/>
      <c r="QGZ1" s="434"/>
      <c r="QHA1" s="434"/>
      <c r="QHB1" s="434"/>
      <c r="QHC1" s="434"/>
      <c r="QHD1" s="434"/>
      <c r="QHE1" s="434"/>
      <c r="QHF1" s="434"/>
      <c r="QHG1" s="434"/>
      <c r="QHH1" s="434"/>
      <c r="QHI1" s="434"/>
      <c r="QHJ1" s="434"/>
      <c r="QHK1" s="434"/>
      <c r="QHL1" s="434"/>
      <c r="QHM1" s="434"/>
      <c r="QHN1" s="434"/>
      <c r="QHO1" s="434"/>
      <c r="QHP1" s="434"/>
      <c r="QHQ1" s="434"/>
      <c r="QHR1" s="434"/>
      <c r="QHS1" s="434"/>
      <c r="QHT1" s="434"/>
      <c r="QHU1" s="434"/>
      <c r="QHV1" s="434"/>
      <c r="QHW1" s="434"/>
      <c r="QHX1" s="434"/>
      <c r="QHY1" s="434"/>
      <c r="QHZ1" s="434"/>
      <c r="QIA1" s="434"/>
      <c r="QIB1" s="434"/>
      <c r="QIC1" s="434"/>
      <c r="QID1" s="434"/>
      <c r="QIE1" s="434"/>
      <c r="QIF1" s="434"/>
      <c r="QIG1" s="434"/>
      <c r="QIH1" s="434"/>
      <c r="QII1" s="434"/>
      <c r="QIJ1" s="434"/>
      <c r="QIK1" s="434"/>
      <c r="QIL1" s="434"/>
      <c r="QIM1" s="434"/>
      <c r="QIN1" s="434"/>
      <c r="QIO1" s="434"/>
      <c r="QIP1" s="434"/>
      <c r="QIQ1" s="434"/>
      <c r="QIR1" s="434"/>
      <c r="QIS1" s="434"/>
      <c r="QIT1" s="434"/>
      <c r="QIU1" s="434"/>
      <c r="QIV1" s="434"/>
      <c r="QIW1" s="434"/>
      <c r="QIX1" s="434"/>
      <c r="QIY1" s="434"/>
      <c r="QIZ1" s="434"/>
      <c r="QJA1" s="434"/>
      <c r="QJB1" s="434"/>
      <c r="QJC1" s="434"/>
      <c r="QJD1" s="434"/>
      <c r="QJE1" s="434"/>
      <c r="QJF1" s="434"/>
      <c r="QJG1" s="434"/>
      <c r="QJH1" s="434"/>
      <c r="QJI1" s="434"/>
      <c r="QJJ1" s="434"/>
      <c r="QJK1" s="434"/>
      <c r="QJL1" s="434"/>
      <c r="QJM1" s="434"/>
      <c r="QJN1" s="434"/>
      <c r="QJO1" s="434"/>
      <c r="QJP1" s="434"/>
      <c r="QJQ1" s="434"/>
      <c r="QJR1" s="434"/>
      <c r="QJS1" s="434"/>
      <c r="QJT1" s="434"/>
      <c r="QJU1" s="434"/>
      <c r="QJV1" s="434"/>
      <c r="QJW1" s="434"/>
      <c r="QJX1" s="434"/>
      <c r="QJY1" s="434"/>
      <c r="QJZ1" s="434"/>
      <c r="QKA1" s="434"/>
      <c r="QKB1" s="434"/>
      <c r="QKC1" s="434"/>
      <c r="QKD1" s="434"/>
      <c r="QKE1" s="434"/>
      <c r="QKF1" s="434"/>
      <c r="QKG1" s="434"/>
      <c r="QKH1" s="434"/>
      <c r="QKI1" s="434"/>
      <c r="QKJ1" s="434"/>
      <c r="QKK1" s="434"/>
      <c r="QKL1" s="434"/>
      <c r="QKM1" s="434"/>
      <c r="QKN1" s="434"/>
      <c r="QKO1" s="434"/>
      <c r="QKP1" s="434"/>
      <c r="QKQ1" s="434"/>
      <c r="QKR1" s="434"/>
      <c r="QKS1" s="434"/>
      <c r="QKT1" s="434"/>
      <c r="QKU1" s="434"/>
      <c r="QKV1" s="434"/>
      <c r="QKW1" s="434"/>
      <c r="QKX1" s="434"/>
      <c r="QKY1" s="434"/>
      <c r="QKZ1" s="434"/>
      <c r="QLA1" s="434"/>
      <c r="QLB1" s="434"/>
      <c r="QLC1" s="434"/>
      <c r="QLD1" s="434"/>
      <c r="QLE1" s="434"/>
      <c r="QLF1" s="434"/>
      <c r="QLG1" s="434"/>
      <c r="QLH1" s="434"/>
      <c r="QLI1" s="434"/>
      <c r="QLJ1" s="434"/>
      <c r="QLK1" s="434"/>
      <c r="QLL1" s="434"/>
      <c r="QLM1" s="434"/>
      <c r="QLN1" s="434"/>
      <c r="QLO1" s="434"/>
      <c r="QLP1" s="434"/>
      <c r="QLQ1" s="434"/>
      <c r="QLR1" s="434"/>
      <c r="QLS1" s="434"/>
      <c r="QLT1" s="434"/>
      <c r="QLU1" s="434"/>
      <c r="QLV1" s="434"/>
      <c r="QLW1" s="434"/>
      <c r="QLX1" s="434"/>
      <c r="QLY1" s="434"/>
      <c r="QLZ1" s="434"/>
      <c r="QMA1" s="434"/>
      <c r="QMB1" s="434"/>
      <c r="QMC1" s="434"/>
      <c r="QMD1" s="434"/>
      <c r="QME1" s="434"/>
      <c r="QMF1" s="434"/>
      <c r="QMG1" s="434"/>
      <c r="QMH1" s="434"/>
      <c r="QMI1" s="434"/>
      <c r="QMJ1" s="434"/>
      <c r="QMK1" s="434"/>
      <c r="QML1" s="434"/>
      <c r="QMM1" s="434"/>
      <c r="QMN1" s="434"/>
      <c r="QMO1" s="434"/>
      <c r="QMP1" s="434"/>
      <c r="QMQ1" s="434"/>
      <c r="QMR1" s="434"/>
      <c r="QMS1" s="434"/>
      <c r="QMT1" s="434"/>
      <c r="QMU1" s="434"/>
      <c r="QMV1" s="434"/>
      <c r="QMW1" s="434"/>
      <c r="QMX1" s="434"/>
      <c r="QMY1" s="434"/>
      <c r="QMZ1" s="434"/>
      <c r="QNA1" s="434"/>
      <c r="QNB1" s="434"/>
      <c r="QNC1" s="434"/>
      <c r="QND1" s="434"/>
      <c r="QNE1" s="434"/>
      <c r="QNF1" s="434"/>
      <c r="QNG1" s="434"/>
      <c r="QNH1" s="434"/>
      <c r="QNI1" s="434"/>
      <c r="QNJ1" s="434"/>
      <c r="QNK1" s="434"/>
      <c r="QNL1" s="434"/>
      <c r="QNM1" s="434"/>
      <c r="QNN1" s="434"/>
      <c r="QNO1" s="434"/>
      <c r="QNP1" s="434"/>
      <c r="QNQ1" s="434"/>
      <c r="QNR1" s="434"/>
      <c r="QNS1" s="434"/>
      <c r="QNT1" s="434"/>
      <c r="QNU1" s="434"/>
      <c r="QNV1" s="434"/>
      <c r="QNW1" s="434"/>
      <c r="QNX1" s="434"/>
      <c r="QNY1" s="434"/>
      <c r="QNZ1" s="434"/>
      <c r="QOA1" s="434"/>
      <c r="QOB1" s="434"/>
      <c r="QOC1" s="434"/>
      <c r="QOD1" s="434"/>
      <c r="QOE1" s="434"/>
      <c r="QOF1" s="434"/>
      <c r="QOG1" s="434"/>
      <c r="QOH1" s="434"/>
      <c r="QOI1" s="434"/>
      <c r="QOJ1" s="434"/>
      <c r="QOK1" s="434"/>
      <c r="QOL1" s="434"/>
      <c r="QOM1" s="434"/>
      <c r="QON1" s="434"/>
      <c r="QOO1" s="434"/>
      <c r="QOP1" s="434"/>
      <c r="QOQ1" s="434"/>
      <c r="QOR1" s="434"/>
      <c r="QOS1" s="434"/>
      <c r="QOT1" s="434"/>
      <c r="QOU1" s="434"/>
      <c r="QOV1" s="434"/>
      <c r="QOW1" s="434"/>
      <c r="QOX1" s="434"/>
      <c r="QOY1" s="434"/>
      <c r="QOZ1" s="434"/>
      <c r="QPA1" s="434"/>
      <c r="QPB1" s="434"/>
      <c r="QPC1" s="434"/>
      <c r="QPD1" s="434"/>
      <c r="QPE1" s="434"/>
      <c r="QPF1" s="434"/>
      <c r="QPG1" s="434"/>
      <c r="QPH1" s="434"/>
      <c r="QPI1" s="434"/>
      <c r="QPJ1" s="434"/>
      <c r="QPK1" s="434"/>
      <c r="QPL1" s="434"/>
      <c r="QPM1" s="434"/>
      <c r="QPN1" s="434"/>
      <c r="QPO1" s="434"/>
      <c r="QPP1" s="434"/>
      <c r="QPQ1" s="434"/>
      <c r="QPR1" s="434"/>
      <c r="QPS1" s="434"/>
      <c r="QPT1" s="434"/>
      <c r="QPU1" s="434"/>
      <c r="QPV1" s="434"/>
      <c r="QPW1" s="434"/>
      <c r="QPX1" s="434"/>
      <c r="QPY1" s="434"/>
      <c r="QPZ1" s="434"/>
      <c r="QQA1" s="434"/>
      <c r="QQB1" s="434"/>
      <c r="QQC1" s="434"/>
      <c r="QQD1" s="434"/>
      <c r="QQE1" s="434"/>
      <c r="QQF1" s="434"/>
      <c r="QQG1" s="434"/>
      <c r="QQH1" s="434"/>
      <c r="QQI1" s="434"/>
      <c r="QQJ1" s="434"/>
      <c r="QQK1" s="434"/>
      <c r="QQL1" s="434"/>
      <c r="QQM1" s="434"/>
      <c r="QQN1" s="434"/>
      <c r="QQO1" s="434"/>
      <c r="QQP1" s="434"/>
      <c r="QQQ1" s="434"/>
      <c r="QQR1" s="434"/>
      <c r="QQS1" s="434"/>
      <c r="QQT1" s="434"/>
      <c r="QQU1" s="434"/>
      <c r="QQV1" s="434"/>
      <c r="QQW1" s="434"/>
      <c r="QQX1" s="434"/>
      <c r="QQY1" s="434"/>
      <c r="QQZ1" s="434"/>
      <c r="QRA1" s="434"/>
      <c r="QRB1" s="434"/>
      <c r="QRC1" s="434"/>
      <c r="QRD1" s="434"/>
      <c r="QRE1" s="434"/>
      <c r="QRF1" s="434"/>
      <c r="QRG1" s="434"/>
      <c r="QRH1" s="434"/>
      <c r="QRI1" s="434"/>
      <c r="QRJ1" s="434"/>
      <c r="QRK1" s="434"/>
      <c r="QRL1" s="434"/>
      <c r="QRM1" s="434"/>
      <c r="QRN1" s="434"/>
      <c r="QRO1" s="434"/>
      <c r="QRP1" s="434"/>
      <c r="QRQ1" s="434"/>
      <c r="QRR1" s="434"/>
      <c r="QRS1" s="434"/>
      <c r="QRT1" s="434"/>
      <c r="QRU1" s="434"/>
      <c r="QRV1" s="434"/>
      <c r="QRW1" s="434"/>
      <c r="QRX1" s="434"/>
      <c r="QRY1" s="434"/>
      <c r="QRZ1" s="434"/>
      <c r="QSA1" s="434"/>
      <c r="QSB1" s="434"/>
      <c r="QSC1" s="434"/>
      <c r="QSD1" s="434"/>
      <c r="QSE1" s="434"/>
      <c r="QSF1" s="434"/>
      <c r="QSG1" s="434"/>
      <c r="QSH1" s="434"/>
      <c r="QSI1" s="434"/>
      <c r="QSJ1" s="434"/>
      <c r="QSK1" s="434"/>
      <c r="QSL1" s="434"/>
      <c r="QSM1" s="434"/>
      <c r="QSN1" s="434"/>
      <c r="QSO1" s="434"/>
      <c r="QSP1" s="434"/>
      <c r="QSQ1" s="434"/>
      <c r="QSR1" s="434"/>
      <c r="QSS1" s="434"/>
      <c r="QST1" s="434"/>
      <c r="QSU1" s="434"/>
      <c r="QSV1" s="434"/>
      <c r="QSW1" s="434"/>
      <c r="QSX1" s="434"/>
      <c r="QSY1" s="434"/>
      <c r="QSZ1" s="434"/>
      <c r="QTA1" s="434"/>
      <c r="QTB1" s="434"/>
      <c r="QTC1" s="434"/>
      <c r="QTD1" s="434"/>
      <c r="QTE1" s="434"/>
      <c r="QTF1" s="434"/>
      <c r="QTG1" s="434"/>
      <c r="QTH1" s="434"/>
      <c r="QTI1" s="434"/>
      <c r="QTJ1" s="434"/>
      <c r="QTK1" s="434"/>
      <c r="QTL1" s="434"/>
      <c r="QTM1" s="434"/>
      <c r="QTN1" s="434"/>
      <c r="QTO1" s="434"/>
      <c r="QTP1" s="434"/>
      <c r="QTQ1" s="434"/>
      <c r="QTR1" s="434"/>
      <c r="QTS1" s="434"/>
      <c r="QTT1" s="434"/>
      <c r="QTU1" s="434"/>
      <c r="QTV1" s="434"/>
      <c r="QTW1" s="434"/>
      <c r="QTX1" s="434"/>
      <c r="QTY1" s="434"/>
      <c r="QTZ1" s="434"/>
      <c r="QUA1" s="434"/>
      <c r="QUB1" s="434"/>
      <c r="QUC1" s="434"/>
      <c r="QUD1" s="434"/>
      <c r="QUE1" s="434"/>
      <c r="QUF1" s="434"/>
      <c r="QUG1" s="434"/>
      <c r="QUH1" s="434"/>
      <c r="QUI1" s="434"/>
      <c r="QUJ1" s="434"/>
      <c r="QUK1" s="434"/>
      <c r="QUL1" s="434"/>
      <c r="QUM1" s="434"/>
      <c r="QUN1" s="434"/>
      <c r="QUO1" s="434"/>
      <c r="QUP1" s="434"/>
      <c r="QUQ1" s="434"/>
      <c r="QUR1" s="434"/>
      <c r="QUS1" s="434"/>
      <c r="QUT1" s="434"/>
      <c r="QUU1" s="434"/>
      <c r="QUV1" s="434"/>
      <c r="QUW1" s="434"/>
      <c r="QUX1" s="434"/>
      <c r="QUY1" s="434"/>
      <c r="QUZ1" s="434"/>
      <c r="QVA1" s="434"/>
      <c r="QVB1" s="434"/>
      <c r="QVC1" s="434"/>
      <c r="QVD1" s="434"/>
      <c r="QVE1" s="434"/>
      <c r="QVF1" s="434"/>
      <c r="QVG1" s="434"/>
      <c r="QVH1" s="434"/>
      <c r="QVI1" s="434"/>
      <c r="QVJ1" s="434"/>
      <c r="QVK1" s="434"/>
      <c r="QVL1" s="434"/>
      <c r="QVM1" s="434"/>
      <c r="QVN1" s="434"/>
      <c r="QVO1" s="434"/>
      <c r="QVP1" s="434"/>
      <c r="QVQ1" s="434"/>
      <c r="QVR1" s="434"/>
      <c r="QVS1" s="434"/>
      <c r="QVT1" s="434"/>
      <c r="QVU1" s="434"/>
      <c r="QVV1" s="434"/>
      <c r="QVW1" s="434"/>
      <c r="QVX1" s="434"/>
      <c r="QVY1" s="434"/>
      <c r="QVZ1" s="434"/>
      <c r="QWA1" s="434"/>
      <c r="QWB1" s="434"/>
      <c r="QWC1" s="434"/>
      <c r="QWD1" s="434"/>
      <c r="QWE1" s="434"/>
      <c r="QWF1" s="434"/>
      <c r="QWG1" s="434"/>
      <c r="QWH1" s="434"/>
      <c r="QWI1" s="434"/>
      <c r="QWJ1" s="434"/>
      <c r="QWK1" s="434"/>
      <c r="QWL1" s="434"/>
      <c r="QWM1" s="434"/>
      <c r="QWN1" s="434"/>
      <c r="QWO1" s="434"/>
      <c r="QWP1" s="434"/>
      <c r="QWQ1" s="434"/>
      <c r="QWR1" s="434"/>
      <c r="QWS1" s="434"/>
      <c r="QWT1" s="434"/>
      <c r="QWU1" s="434"/>
      <c r="QWV1" s="434"/>
      <c r="QWW1" s="434"/>
      <c r="QWX1" s="434"/>
      <c r="QWY1" s="434"/>
      <c r="QWZ1" s="434"/>
      <c r="QXA1" s="434"/>
      <c r="QXB1" s="434"/>
      <c r="QXC1" s="434"/>
      <c r="QXD1" s="434"/>
      <c r="QXE1" s="434"/>
      <c r="QXF1" s="434"/>
      <c r="QXG1" s="434"/>
      <c r="QXH1" s="434"/>
      <c r="QXI1" s="434"/>
      <c r="QXJ1" s="434"/>
      <c r="QXK1" s="434"/>
      <c r="QXL1" s="434"/>
      <c r="QXM1" s="434"/>
      <c r="QXN1" s="434"/>
      <c r="QXO1" s="434"/>
      <c r="QXP1" s="434"/>
      <c r="QXQ1" s="434"/>
      <c r="QXR1" s="434"/>
      <c r="QXS1" s="434"/>
      <c r="QXT1" s="434"/>
      <c r="QXU1" s="434"/>
      <c r="QXV1" s="434"/>
      <c r="QXW1" s="434"/>
      <c r="QXX1" s="434"/>
      <c r="QXY1" s="434"/>
      <c r="QXZ1" s="434"/>
      <c r="QYA1" s="434"/>
      <c r="QYB1" s="434"/>
      <c r="QYC1" s="434"/>
      <c r="QYD1" s="434"/>
      <c r="QYE1" s="434"/>
      <c r="QYF1" s="434"/>
      <c r="QYG1" s="434"/>
      <c r="QYH1" s="434"/>
      <c r="QYI1" s="434"/>
      <c r="QYJ1" s="434"/>
      <c r="QYK1" s="434"/>
      <c r="QYL1" s="434"/>
      <c r="QYM1" s="434"/>
      <c r="QYN1" s="434"/>
      <c r="QYO1" s="434"/>
      <c r="QYP1" s="434"/>
      <c r="QYQ1" s="434"/>
      <c r="QYR1" s="434"/>
      <c r="QYS1" s="434"/>
      <c r="QYT1" s="434"/>
      <c r="QYU1" s="434"/>
      <c r="QYV1" s="434"/>
      <c r="QYW1" s="434"/>
      <c r="QYX1" s="434"/>
      <c r="QYY1" s="434"/>
      <c r="QYZ1" s="434"/>
      <c r="QZA1" s="434"/>
      <c r="QZB1" s="434"/>
      <c r="QZC1" s="434"/>
      <c r="QZD1" s="434"/>
      <c r="QZE1" s="434"/>
      <c r="QZF1" s="434"/>
      <c r="QZG1" s="434"/>
      <c r="QZH1" s="434"/>
      <c r="QZI1" s="434"/>
      <c r="QZJ1" s="434"/>
      <c r="QZK1" s="434"/>
      <c r="QZL1" s="434"/>
      <c r="QZM1" s="434"/>
      <c r="QZN1" s="434"/>
      <c r="QZO1" s="434"/>
      <c r="QZP1" s="434"/>
      <c r="QZQ1" s="434"/>
      <c r="QZR1" s="434"/>
      <c r="QZS1" s="434"/>
      <c r="QZT1" s="434"/>
      <c r="QZU1" s="434"/>
      <c r="QZV1" s="434"/>
      <c r="QZW1" s="434"/>
      <c r="QZX1" s="434"/>
      <c r="QZY1" s="434"/>
      <c r="QZZ1" s="434"/>
      <c r="RAA1" s="434"/>
      <c r="RAB1" s="434"/>
      <c r="RAC1" s="434"/>
      <c r="RAD1" s="434"/>
      <c r="RAE1" s="434"/>
      <c r="RAF1" s="434"/>
      <c r="RAG1" s="434"/>
      <c r="RAH1" s="434"/>
      <c r="RAI1" s="434"/>
      <c r="RAJ1" s="434"/>
      <c r="RAK1" s="434"/>
      <c r="RAL1" s="434"/>
      <c r="RAM1" s="434"/>
      <c r="RAN1" s="434"/>
      <c r="RAO1" s="434"/>
      <c r="RAP1" s="434"/>
      <c r="RAQ1" s="434"/>
      <c r="RAR1" s="434"/>
      <c r="RAS1" s="434"/>
      <c r="RAT1" s="434"/>
      <c r="RAU1" s="434"/>
      <c r="RAV1" s="434"/>
      <c r="RAW1" s="434"/>
      <c r="RAX1" s="434"/>
      <c r="RAY1" s="434"/>
      <c r="RAZ1" s="434"/>
      <c r="RBA1" s="434"/>
      <c r="RBB1" s="434"/>
      <c r="RBC1" s="434"/>
      <c r="RBD1" s="434"/>
      <c r="RBE1" s="434"/>
      <c r="RBF1" s="434"/>
      <c r="RBG1" s="434"/>
      <c r="RBH1" s="434"/>
      <c r="RBI1" s="434"/>
      <c r="RBJ1" s="434"/>
      <c r="RBK1" s="434"/>
      <c r="RBL1" s="434"/>
      <c r="RBM1" s="434"/>
      <c r="RBN1" s="434"/>
      <c r="RBO1" s="434"/>
      <c r="RBP1" s="434"/>
      <c r="RBQ1" s="434"/>
      <c r="RBR1" s="434"/>
      <c r="RBS1" s="434"/>
      <c r="RBT1" s="434"/>
      <c r="RBU1" s="434"/>
      <c r="RBV1" s="434"/>
      <c r="RBW1" s="434"/>
      <c r="RBX1" s="434"/>
      <c r="RBY1" s="434"/>
      <c r="RBZ1" s="434"/>
      <c r="RCA1" s="434"/>
      <c r="RCB1" s="434"/>
      <c r="RCC1" s="434"/>
      <c r="RCD1" s="434"/>
      <c r="RCE1" s="434"/>
      <c r="RCF1" s="434"/>
      <c r="RCG1" s="434"/>
      <c r="RCH1" s="434"/>
      <c r="RCI1" s="434"/>
      <c r="RCJ1" s="434"/>
      <c r="RCK1" s="434"/>
      <c r="RCL1" s="434"/>
      <c r="RCM1" s="434"/>
      <c r="RCN1" s="434"/>
      <c r="RCO1" s="434"/>
      <c r="RCP1" s="434"/>
      <c r="RCQ1" s="434"/>
      <c r="RCR1" s="434"/>
      <c r="RCS1" s="434"/>
      <c r="RCT1" s="434"/>
      <c r="RCU1" s="434"/>
      <c r="RCV1" s="434"/>
      <c r="RCW1" s="434"/>
      <c r="RCX1" s="434"/>
      <c r="RCY1" s="434"/>
      <c r="RCZ1" s="434"/>
      <c r="RDA1" s="434"/>
      <c r="RDB1" s="434"/>
      <c r="RDC1" s="434"/>
      <c r="RDD1" s="434"/>
      <c r="RDE1" s="434"/>
      <c r="RDF1" s="434"/>
      <c r="RDG1" s="434"/>
      <c r="RDH1" s="434"/>
      <c r="RDI1" s="434"/>
      <c r="RDJ1" s="434"/>
      <c r="RDK1" s="434"/>
      <c r="RDL1" s="434"/>
      <c r="RDM1" s="434"/>
      <c r="RDN1" s="434"/>
      <c r="RDO1" s="434"/>
      <c r="RDP1" s="434"/>
      <c r="RDQ1" s="434"/>
      <c r="RDR1" s="434"/>
      <c r="RDS1" s="434"/>
      <c r="RDT1" s="434"/>
      <c r="RDU1" s="434"/>
      <c r="RDV1" s="434"/>
      <c r="RDW1" s="434"/>
      <c r="RDX1" s="434"/>
      <c r="RDY1" s="434"/>
      <c r="RDZ1" s="434"/>
      <c r="REA1" s="434"/>
      <c r="REB1" s="434"/>
      <c r="REC1" s="434"/>
      <c r="RED1" s="434"/>
      <c r="REE1" s="434"/>
      <c r="REF1" s="434"/>
      <c r="REG1" s="434"/>
      <c r="REH1" s="434"/>
      <c r="REI1" s="434"/>
      <c r="REJ1" s="434"/>
      <c r="REK1" s="434"/>
      <c r="REL1" s="434"/>
      <c r="REM1" s="434"/>
      <c r="REN1" s="434"/>
      <c r="REO1" s="434"/>
      <c r="REP1" s="434"/>
      <c r="REQ1" s="434"/>
      <c r="RER1" s="434"/>
      <c r="RES1" s="434"/>
      <c r="RET1" s="434"/>
      <c r="REU1" s="434"/>
      <c r="REV1" s="434"/>
      <c r="REW1" s="434"/>
      <c r="REX1" s="434"/>
      <c r="REY1" s="434"/>
      <c r="REZ1" s="434"/>
      <c r="RFA1" s="434"/>
      <c r="RFB1" s="434"/>
      <c r="RFC1" s="434"/>
      <c r="RFD1" s="434"/>
      <c r="RFE1" s="434"/>
      <c r="RFF1" s="434"/>
      <c r="RFG1" s="434"/>
      <c r="RFH1" s="434"/>
      <c r="RFI1" s="434"/>
      <c r="RFJ1" s="434"/>
      <c r="RFK1" s="434"/>
      <c r="RFL1" s="434"/>
      <c r="RFM1" s="434"/>
      <c r="RFN1" s="434"/>
      <c r="RFO1" s="434"/>
      <c r="RFP1" s="434"/>
      <c r="RFQ1" s="434"/>
      <c r="RFR1" s="434"/>
      <c r="RFS1" s="434"/>
      <c r="RFT1" s="434"/>
      <c r="RFU1" s="434"/>
      <c r="RFV1" s="434"/>
      <c r="RFW1" s="434"/>
      <c r="RFX1" s="434"/>
      <c r="RFY1" s="434"/>
      <c r="RFZ1" s="434"/>
      <c r="RGA1" s="434"/>
      <c r="RGB1" s="434"/>
      <c r="RGC1" s="434"/>
      <c r="RGD1" s="434"/>
      <c r="RGE1" s="434"/>
      <c r="RGF1" s="434"/>
      <c r="RGG1" s="434"/>
      <c r="RGH1" s="434"/>
      <c r="RGI1" s="434"/>
      <c r="RGJ1" s="434"/>
      <c r="RGK1" s="434"/>
      <c r="RGL1" s="434"/>
      <c r="RGM1" s="434"/>
      <c r="RGN1" s="434"/>
      <c r="RGO1" s="434"/>
      <c r="RGP1" s="434"/>
      <c r="RGQ1" s="434"/>
      <c r="RGR1" s="434"/>
      <c r="RGS1" s="434"/>
      <c r="RGT1" s="434"/>
      <c r="RGU1" s="434"/>
      <c r="RGV1" s="434"/>
      <c r="RGW1" s="434"/>
      <c r="RGX1" s="434"/>
      <c r="RGY1" s="434"/>
      <c r="RGZ1" s="434"/>
      <c r="RHA1" s="434"/>
      <c r="RHB1" s="434"/>
      <c r="RHC1" s="434"/>
      <c r="RHD1" s="434"/>
      <c r="RHE1" s="434"/>
      <c r="RHF1" s="434"/>
      <c r="RHG1" s="434"/>
      <c r="RHH1" s="434"/>
      <c r="RHI1" s="434"/>
      <c r="RHJ1" s="434"/>
      <c r="RHK1" s="434"/>
      <c r="RHL1" s="434"/>
      <c r="RHM1" s="434"/>
      <c r="RHN1" s="434"/>
      <c r="RHO1" s="434"/>
      <c r="RHP1" s="434"/>
      <c r="RHQ1" s="434"/>
      <c r="RHR1" s="434"/>
      <c r="RHS1" s="434"/>
      <c r="RHT1" s="434"/>
      <c r="RHU1" s="434"/>
      <c r="RHV1" s="434"/>
      <c r="RHW1" s="434"/>
      <c r="RHX1" s="434"/>
      <c r="RHY1" s="434"/>
      <c r="RHZ1" s="434"/>
      <c r="RIA1" s="434"/>
      <c r="RIB1" s="434"/>
      <c r="RIC1" s="434"/>
      <c r="RID1" s="434"/>
      <c r="RIE1" s="434"/>
      <c r="RIF1" s="434"/>
      <c r="RIG1" s="434"/>
      <c r="RIH1" s="434"/>
      <c r="RII1" s="434"/>
      <c r="RIJ1" s="434"/>
      <c r="RIK1" s="434"/>
      <c r="RIL1" s="434"/>
      <c r="RIM1" s="434"/>
      <c r="RIN1" s="434"/>
      <c r="RIO1" s="434"/>
      <c r="RIP1" s="434"/>
      <c r="RIQ1" s="434"/>
      <c r="RIR1" s="434"/>
      <c r="RIS1" s="434"/>
      <c r="RIT1" s="434"/>
      <c r="RIU1" s="434"/>
      <c r="RIV1" s="434"/>
      <c r="RIW1" s="434"/>
      <c r="RIX1" s="434"/>
      <c r="RIY1" s="434"/>
      <c r="RIZ1" s="434"/>
      <c r="RJA1" s="434"/>
      <c r="RJB1" s="434"/>
      <c r="RJC1" s="434"/>
      <c r="RJD1" s="434"/>
      <c r="RJE1" s="434"/>
      <c r="RJF1" s="434"/>
      <c r="RJG1" s="434"/>
      <c r="RJH1" s="434"/>
      <c r="RJI1" s="434"/>
      <c r="RJJ1" s="434"/>
      <c r="RJK1" s="434"/>
      <c r="RJL1" s="434"/>
      <c r="RJM1" s="434"/>
      <c r="RJN1" s="434"/>
      <c r="RJO1" s="434"/>
      <c r="RJP1" s="434"/>
      <c r="RJQ1" s="434"/>
      <c r="RJR1" s="434"/>
      <c r="RJS1" s="434"/>
      <c r="RJT1" s="434"/>
      <c r="RJU1" s="434"/>
      <c r="RJV1" s="434"/>
      <c r="RJW1" s="434"/>
      <c r="RJX1" s="434"/>
      <c r="RJY1" s="434"/>
      <c r="RJZ1" s="434"/>
      <c r="RKA1" s="434"/>
      <c r="RKB1" s="434"/>
      <c r="RKC1" s="434"/>
      <c r="RKD1" s="434"/>
      <c r="RKE1" s="434"/>
      <c r="RKF1" s="434"/>
      <c r="RKG1" s="434"/>
      <c r="RKH1" s="434"/>
      <c r="RKI1" s="434"/>
      <c r="RKJ1" s="434"/>
      <c r="RKK1" s="434"/>
      <c r="RKL1" s="434"/>
      <c r="RKM1" s="434"/>
      <c r="RKN1" s="434"/>
      <c r="RKO1" s="434"/>
      <c r="RKP1" s="434"/>
      <c r="RKQ1" s="434"/>
      <c r="RKR1" s="434"/>
      <c r="RKS1" s="434"/>
      <c r="RKT1" s="434"/>
      <c r="RKU1" s="434"/>
      <c r="RKV1" s="434"/>
      <c r="RKW1" s="434"/>
      <c r="RKX1" s="434"/>
      <c r="RKY1" s="434"/>
      <c r="RKZ1" s="434"/>
      <c r="RLA1" s="434"/>
      <c r="RLB1" s="434"/>
      <c r="RLC1" s="434"/>
      <c r="RLD1" s="434"/>
      <c r="RLE1" s="434"/>
      <c r="RLF1" s="434"/>
      <c r="RLG1" s="434"/>
      <c r="RLH1" s="434"/>
      <c r="RLI1" s="434"/>
      <c r="RLJ1" s="434"/>
      <c r="RLK1" s="434"/>
      <c r="RLL1" s="434"/>
      <c r="RLM1" s="434"/>
      <c r="RLN1" s="434"/>
      <c r="RLO1" s="434"/>
      <c r="RLP1" s="434"/>
      <c r="RLQ1" s="434"/>
      <c r="RLR1" s="434"/>
      <c r="RLS1" s="434"/>
      <c r="RLT1" s="434"/>
      <c r="RLU1" s="434"/>
      <c r="RLV1" s="434"/>
      <c r="RLW1" s="434"/>
      <c r="RLX1" s="434"/>
      <c r="RLY1" s="434"/>
      <c r="RLZ1" s="434"/>
      <c r="RMA1" s="434"/>
      <c r="RMB1" s="434"/>
      <c r="RMC1" s="434"/>
      <c r="RMD1" s="434"/>
      <c r="RME1" s="434"/>
      <c r="RMF1" s="434"/>
      <c r="RMG1" s="434"/>
      <c r="RMH1" s="434"/>
      <c r="RMI1" s="434"/>
      <c r="RMJ1" s="434"/>
      <c r="RMK1" s="434"/>
      <c r="RML1" s="434"/>
      <c r="RMM1" s="434"/>
      <c r="RMN1" s="434"/>
      <c r="RMO1" s="434"/>
      <c r="RMP1" s="434"/>
      <c r="RMQ1" s="434"/>
      <c r="RMR1" s="434"/>
      <c r="RMS1" s="434"/>
      <c r="RMT1" s="434"/>
      <c r="RMU1" s="434"/>
      <c r="RMV1" s="434"/>
      <c r="RMW1" s="434"/>
      <c r="RMX1" s="434"/>
      <c r="RMY1" s="434"/>
      <c r="RMZ1" s="434"/>
      <c r="RNA1" s="434"/>
      <c r="RNB1" s="434"/>
      <c r="RNC1" s="434"/>
      <c r="RND1" s="434"/>
      <c r="RNE1" s="434"/>
      <c r="RNF1" s="434"/>
      <c r="RNG1" s="434"/>
      <c r="RNH1" s="434"/>
      <c r="RNI1" s="434"/>
      <c r="RNJ1" s="434"/>
      <c r="RNK1" s="434"/>
      <c r="RNL1" s="434"/>
      <c r="RNM1" s="434"/>
      <c r="RNN1" s="434"/>
      <c r="RNO1" s="434"/>
      <c r="RNP1" s="434"/>
      <c r="RNQ1" s="434"/>
      <c r="RNR1" s="434"/>
      <c r="RNS1" s="434"/>
      <c r="RNT1" s="434"/>
      <c r="RNU1" s="434"/>
      <c r="RNV1" s="434"/>
      <c r="RNW1" s="434"/>
      <c r="RNX1" s="434"/>
      <c r="RNY1" s="434"/>
      <c r="RNZ1" s="434"/>
      <c r="ROA1" s="434"/>
      <c r="ROB1" s="434"/>
      <c r="ROC1" s="434"/>
      <c r="ROD1" s="434"/>
      <c r="ROE1" s="434"/>
      <c r="ROF1" s="434"/>
      <c r="ROG1" s="434"/>
      <c r="ROH1" s="434"/>
      <c r="ROI1" s="434"/>
      <c r="ROJ1" s="434"/>
      <c r="ROK1" s="434"/>
      <c r="ROL1" s="434"/>
      <c r="ROM1" s="434"/>
      <c r="RON1" s="434"/>
      <c r="ROO1" s="434"/>
      <c r="ROP1" s="434"/>
      <c r="ROQ1" s="434"/>
      <c r="ROR1" s="434"/>
      <c r="ROS1" s="434"/>
      <c r="ROT1" s="434"/>
      <c r="ROU1" s="434"/>
      <c r="ROV1" s="434"/>
      <c r="ROW1" s="434"/>
      <c r="ROX1" s="434"/>
      <c r="ROY1" s="434"/>
      <c r="ROZ1" s="434"/>
      <c r="RPA1" s="434"/>
      <c r="RPB1" s="434"/>
      <c r="RPC1" s="434"/>
      <c r="RPD1" s="434"/>
      <c r="RPE1" s="434"/>
      <c r="RPF1" s="434"/>
      <c r="RPG1" s="434"/>
      <c r="RPH1" s="434"/>
      <c r="RPI1" s="434"/>
      <c r="RPJ1" s="434"/>
      <c r="RPK1" s="434"/>
      <c r="RPL1" s="434"/>
      <c r="RPM1" s="434"/>
      <c r="RPN1" s="434"/>
      <c r="RPO1" s="434"/>
      <c r="RPP1" s="434"/>
      <c r="RPQ1" s="434"/>
      <c r="RPR1" s="434"/>
      <c r="RPS1" s="434"/>
      <c r="RPT1" s="434"/>
      <c r="RPU1" s="434"/>
      <c r="RPV1" s="434"/>
      <c r="RPW1" s="434"/>
      <c r="RPX1" s="434"/>
      <c r="RPY1" s="434"/>
      <c r="RPZ1" s="434"/>
      <c r="RQA1" s="434"/>
      <c r="RQB1" s="434"/>
      <c r="RQC1" s="434"/>
      <c r="RQD1" s="434"/>
      <c r="RQE1" s="434"/>
      <c r="RQF1" s="434"/>
      <c r="RQG1" s="434"/>
      <c r="RQH1" s="434"/>
      <c r="RQI1" s="434"/>
      <c r="RQJ1" s="434"/>
      <c r="RQK1" s="434"/>
      <c r="RQL1" s="434"/>
      <c r="RQM1" s="434"/>
      <c r="RQN1" s="434"/>
      <c r="RQO1" s="434"/>
      <c r="RQP1" s="434"/>
      <c r="RQQ1" s="434"/>
      <c r="RQR1" s="434"/>
      <c r="RQS1" s="434"/>
      <c r="RQT1" s="434"/>
      <c r="RQU1" s="434"/>
      <c r="RQV1" s="434"/>
      <c r="RQW1" s="434"/>
      <c r="RQX1" s="434"/>
      <c r="RQY1" s="434"/>
      <c r="RQZ1" s="434"/>
      <c r="RRA1" s="434"/>
      <c r="RRB1" s="434"/>
      <c r="RRC1" s="434"/>
      <c r="RRD1" s="434"/>
      <c r="RRE1" s="434"/>
      <c r="RRF1" s="434"/>
      <c r="RRG1" s="434"/>
      <c r="RRH1" s="434"/>
      <c r="RRI1" s="434"/>
      <c r="RRJ1" s="434"/>
      <c r="RRK1" s="434"/>
      <c r="RRL1" s="434"/>
      <c r="RRM1" s="434"/>
      <c r="RRN1" s="434"/>
      <c r="RRO1" s="434"/>
      <c r="RRP1" s="434"/>
      <c r="RRQ1" s="434"/>
      <c r="RRR1" s="434"/>
      <c r="RRS1" s="434"/>
      <c r="RRT1" s="434"/>
      <c r="RRU1" s="434"/>
      <c r="RRV1" s="434"/>
      <c r="RRW1" s="434"/>
      <c r="RRX1" s="434"/>
      <c r="RRY1" s="434"/>
      <c r="RRZ1" s="434"/>
      <c r="RSA1" s="434"/>
      <c r="RSB1" s="434"/>
      <c r="RSC1" s="434"/>
      <c r="RSD1" s="434"/>
      <c r="RSE1" s="434"/>
      <c r="RSF1" s="434"/>
      <c r="RSG1" s="434"/>
      <c r="RSH1" s="434"/>
      <c r="RSI1" s="434"/>
      <c r="RSJ1" s="434"/>
      <c r="RSK1" s="434"/>
      <c r="RSL1" s="434"/>
      <c r="RSM1" s="434"/>
      <c r="RSN1" s="434"/>
      <c r="RSO1" s="434"/>
      <c r="RSP1" s="434"/>
      <c r="RSQ1" s="434"/>
      <c r="RSR1" s="434"/>
      <c r="RSS1" s="434"/>
      <c r="RST1" s="434"/>
      <c r="RSU1" s="434"/>
      <c r="RSV1" s="434"/>
      <c r="RSW1" s="434"/>
      <c r="RSX1" s="434"/>
      <c r="RSY1" s="434"/>
      <c r="RSZ1" s="434"/>
      <c r="RTA1" s="434"/>
      <c r="RTB1" s="434"/>
      <c r="RTC1" s="434"/>
      <c r="RTD1" s="434"/>
      <c r="RTE1" s="434"/>
      <c r="RTF1" s="434"/>
      <c r="RTG1" s="434"/>
      <c r="RTH1" s="434"/>
      <c r="RTI1" s="434"/>
      <c r="RTJ1" s="434"/>
      <c r="RTK1" s="434"/>
      <c r="RTL1" s="434"/>
      <c r="RTM1" s="434"/>
      <c r="RTN1" s="434"/>
      <c r="RTO1" s="434"/>
      <c r="RTP1" s="434"/>
      <c r="RTQ1" s="434"/>
      <c r="RTR1" s="434"/>
      <c r="RTS1" s="434"/>
      <c r="RTT1" s="434"/>
      <c r="RTU1" s="434"/>
      <c r="RTV1" s="434"/>
      <c r="RTW1" s="434"/>
      <c r="RTX1" s="434"/>
      <c r="RTY1" s="434"/>
      <c r="RTZ1" s="434"/>
      <c r="RUA1" s="434"/>
      <c r="RUB1" s="434"/>
      <c r="RUC1" s="434"/>
      <c r="RUD1" s="434"/>
      <c r="RUE1" s="434"/>
      <c r="RUF1" s="434"/>
      <c r="RUG1" s="434"/>
      <c r="RUH1" s="434"/>
      <c r="RUI1" s="434"/>
      <c r="RUJ1" s="434"/>
      <c r="RUK1" s="434"/>
      <c r="RUL1" s="434"/>
      <c r="RUM1" s="434"/>
      <c r="RUN1" s="434"/>
      <c r="RUO1" s="434"/>
      <c r="RUP1" s="434"/>
      <c r="RUQ1" s="434"/>
      <c r="RUR1" s="434"/>
      <c r="RUS1" s="434"/>
      <c r="RUT1" s="434"/>
      <c r="RUU1" s="434"/>
      <c r="RUV1" s="434"/>
      <c r="RUW1" s="434"/>
      <c r="RUX1" s="434"/>
      <c r="RUY1" s="434"/>
      <c r="RUZ1" s="434"/>
      <c r="RVA1" s="434"/>
      <c r="RVB1" s="434"/>
      <c r="RVC1" s="434"/>
      <c r="RVD1" s="434"/>
      <c r="RVE1" s="434"/>
      <c r="RVF1" s="434"/>
      <c r="RVG1" s="434"/>
      <c r="RVH1" s="434"/>
      <c r="RVI1" s="434"/>
      <c r="RVJ1" s="434"/>
      <c r="RVK1" s="434"/>
      <c r="RVL1" s="434"/>
      <c r="RVM1" s="434"/>
      <c r="RVN1" s="434"/>
      <c r="RVO1" s="434"/>
      <c r="RVP1" s="434"/>
      <c r="RVQ1" s="434"/>
      <c r="RVR1" s="434"/>
      <c r="RVS1" s="434"/>
      <c r="RVT1" s="434"/>
      <c r="RVU1" s="434"/>
      <c r="RVV1" s="434"/>
      <c r="RVW1" s="434"/>
      <c r="RVX1" s="434"/>
      <c r="RVY1" s="434"/>
      <c r="RVZ1" s="434"/>
      <c r="RWA1" s="434"/>
      <c r="RWB1" s="434"/>
      <c r="RWC1" s="434"/>
      <c r="RWD1" s="434"/>
      <c r="RWE1" s="434"/>
      <c r="RWF1" s="434"/>
      <c r="RWG1" s="434"/>
      <c r="RWH1" s="434"/>
      <c r="RWI1" s="434"/>
      <c r="RWJ1" s="434"/>
      <c r="RWK1" s="434"/>
      <c r="RWL1" s="434"/>
      <c r="RWM1" s="434"/>
      <c r="RWN1" s="434"/>
      <c r="RWO1" s="434"/>
      <c r="RWP1" s="434"/>
      <c r="RWQ1" s="434"/>
      <c r="RWR1" s="434"/>
      <c r="RWS1" s="434"/>
      <c r="RWT1" s="434"/>
      <c r="RWU1" s="434"/>
      <c r="RWV1" s="434"/>
      <c r="RWW1" s="434"/>
      <c r="RWX1" s="434"/>
      <c r="RWY1" s="434"/>
      <c r="RWZ1" s="434"/>
      <c r="RXA1" s="434"/>
      <c r="RXB1" s="434"/>
      <c r="RXC1" s="434"/>
      <c r="RXD1" s="434"/>
      <c r="RXE1" s="434"/>
      <c r="RXF1" s="434"/>
      <c r="RXG1" s="434"/>
      <c r="RXH1" s="434"/>
      <c r="RXI1" s="434"/>
      <c r="RXJ1" s="434"/>
      <c r="RXK1" s="434"/>
      <c r="RXL1" s="434"/>
      <c r="RXM1" s="434"/>
      <c r="RXN1" s="434"/>
      <c r="RXO1" s="434"/>
      <c r="RXP1" s="434"/>
      <c r="RXQ1" s="434"/>
      <c r="RXR1" s="434"/>
      <c r="RXS1" s="434"/>
      <c r="RXT1" s="434"/>
      <c r="RXU1" s="434"/>
      <c r="RXV1" s="434"/>
      <c r="RXW1" s="434"/>
      <c r="RXX1" s="434"/>
      <c r="RXY1" s="434"/>
      <c r="RXZ1" s="434"/>
      <c r="RYA1" s="434"/>
      <c r="RYB1" s="434"/>
      <c r="RYC1" s="434"/>
      <c r="RYD1" s="434"/>
      <c r="RYE1" s="434"/>
      <c r="RYF1" s="434"/>
      <c r="RYG1" s="434"/>
      <c r="RYH1" s="434"/>
      <c r="RYI1" s="434"/>
      <c r="RYJ1" s="434"/>
      <c r="RYK1" s="434"/>
      <c r="RYL1" s="434"/>
      <c r="RYM1" s="434"/>
      <c r="RYN1" s="434"/>
      <c r="RYO1" s="434"/>
      <c r="RYP1" s="434"/>
      <c r="RYQ1" s="434"/>
      <c r="RYR1" s="434"/>
      <c r="RYS1" s="434"/>
      <c r="RYT1" s="434"/>
      <c r="RYU1" s="434"/>
      <c r="RYV1" s="434"/>
      <c r="RYW1" s="434"/>
      <c r="RYX1" s="434"/>
      <c r="RYY1" s="434"/>
      <c r="RYZ1" s="434"/>
      <c r="RZA1" s="434"/>
      <c r="RZB1" s="434"/>
      <c r="RZC1" s="434"/>
      <c r="RZD1" s="434"/>
      <c r="RZE1" s="434"/>
      <c r="RZF1" s="434"/>
      <c r="RZG1" s="434"/>
      <c r="RZH1" s="434"/>
      <c r="RZI1" s="434"/>
      <c r="RZJ1" s="434"/>
      <c r="RZK1" s="434"/>
      <c r="RZL1" s="434"/>
      <c r="RZM1" s="434"/>
      <c r="RZN1" s="434"/>
      <c r="RZO1" s="434"/>
      <c r="RZP1" s="434"/>
      <c r="RZQ1" s="434"/>
      <c r="RZR1" s="434"/>
      <c r="RZS1" s="434"/>
      <c r="RZT1" s="434"/>
      <c r="RZU1" s="434"/>
      <c r="RZV1" s="434"/>
      <c r="RZW1" s="434"/>
      <c r="RZX1" s="434"/>
      <c r="RZY1" s="434"/>
      <c r="RZZ1" s="434"/>
      <c r="SAA1" s="434"/>
      <c r="SAB1" s="434"/>
      <c r="SAC1" s="434"/>
      <c r="SAD1" s="434"/>
      <c r="SAE1" s="434"/>
      <c r="SAF1" s="434"/>
      <c r="SAG1" s="434"/>
      <c r="SAH1" s="434"/>
      <c r="SAI1" s="434"/>
      <c r="SAJ1" s="434"/>
      <c r="SAK1" s="434"/>
      <c r="SAL1" s="434"/>
      <c r="SAM1" s="434"/>
      <c r="SAN1" s="434"/>
      <c r="SAO1" s="434"/>
      <c r="SAP1" s="434"/>
      <c r="SAQ1" s="434"/>
      <c r="SAR1" s="434"/>
      <c r="SAS1" s="434"/>
      <c r="SAT1" s="434"/>
      <c r="SAU1" s="434"/>
      <c r="SAV1" s="434"/>
      <c r="SAW1" s="434"/>
      <c r="SAX1" s="434"/>
      <c r="SAY1" s="434"/>
      <c r="SAZ1" s="434"/>
      <c r="SBA1" s="434"/>
      <c r="SBB1" s="434"/>
      <c r="SBC1" s="434"/>
      <c r="SBD1" s="434"/>
      <c r="SBE1" s="434"/>
      <c r="SBF1" s="434"/>
      <c r="SBG1" s="434"/>
      <c r="SBH1" s="434"/>
      <c r="SBI1" s="434"/>
      <c r="SBJ1" s="434"/>
      <c r="SBK1" s="434"/>
      <c r="SBL1" s="434"/>
      <c r="SBM1" s="434"/>
      <c r="SBN1" s="434"/>
      <c r="SBO1" s="434"/>
      <c r="SBP1" s="434"/>
      <c r="SBQ1" s="434"/>
      <c r="SBR1" s="434"/>
      <c r="SBS1" s="434"/>
      <c r="SBT1" s="434"/>
      <c r="SBU1" s="434"/>
      <c r="SBV1" s="434"/>
      <c r="SBW1" s="434"/>
      <c r="SBX1" s="434"/>
      <c r="SBY1" s="434"/>
      <c r="SBZ1" s="434"/>
      <c r="SCA1" s="434"/>
      <c r="SCB1" s="434"/>
      <c r="SCC1" s="434"/>
      <c r="SCD1" s="434"/>
      <c r="SCE1" s="434"/>
      <c r="SCF1" s="434"/>
      <c r="SCG1" s="434"/>
      <c r="SCH1" s="434"/>
      <c r="SCI1" s="434"/>
      <c r="SCJ1" s="434"/>
      <c r="SCK1" s="434"/>
      <c r="SCL1" s="434"/>
      <c r="SCM1" s="434"/>
      <c r="SCN1" s="434"/>
      <c r="SCO1" s="434"/>
      <c r="SCP1" s="434"/>
      <c r="SCQ1" s="434"/>
      <c r="SCR1" s="434"/>
      <c r="SCS1" s="434"/>
      <c r="SCT1" s="434"/>
      <c r="SCU1" s="434"/>
      <c r="SCV1" s="434"/>
      <c r="SCW1" s="434"/>
      <c r="SCX1" s="434"/>
      <c r="SCY1" s="434"/>
      <c r="SCZ1" s="434"/>
      <c r="SDA1" s="434"/>
      <c r="SDB1" s="434"/>
      <c r="SDC1" s="434"/>
      <c r="SDD1" s="434"/>
      <c r="SDE1" s="434"/>
      <c r="SDF1" s="434"/>
      <c r="SDG1" s="434"/>
      <c r="SDH1" s="434"/>
      <c r="SDI1" s="434"/>
      <c r="SDJ1" s="434"/>
      <c r="SDK1" s="434"/>
      <c r="SDL1" s="434"/>
      <c r="SDM1" s="434"/>
      <c r="SDN1" s="434"/>
      <c r="SDO1" s="434"/>
      <c r="SDP1" s="434"/>
      <c r="SDQ1" s="434"/>
      <c r="SDR1" s="434"/>
      <c r="SDS1" s="434"/>
      <c r="SDT1" s="434"/>
      <c r="SDU1" s="434"/>
      <c r="SDV1" s="434"/>
      <c r="SDW1" s="434"/>
      <c r="SDX1" s="434"/>
      <c r="SDY1" s="434"/>
      <c r="SDZ1" s="434"/>
      <c r="SEA1" s="434"/>
      <c r="SEB1" s="434"/>
      <c r="SEC1" s="434"/>
      <c r="SED1" s="434"/>
      <c r="SEE1" s="434"/>
      <c r="SEF1" s="434"/>
      <c r="SEG1" s="434"/>
      <c r="SEH1" s="434"/>
      <c r="SEI1" s="434"/>
      <c r="SEJ1" s="434"/>
      <c r="SEK1" s="434"/>
      <c r="SEL1" s="434"/>
      <c r="SEM1" s="434"/>
      <c r="SEN1" s="434"/>
      <c r="SEO1" s="434"/>
      <c r="SEP1" s="434"/>
      <c r="SEQ1" s="434"/>
      <c r="SER1" s="434"/>
      <c r="SES1" s="434"/>
      <c r="SET1" s="434"/>
      <c r="SEU1" s="434"/>
      <c r="SEV1" s="434"/>
      <c r="SEW1" s="434"/>
      <c r="SEX1" s="434"/>
      <c r="SEY1" s="434"/>
      <c r="SEZ1" s="434"/>
      <c r="SFA1" s="434"/>
      <c r="SFB1" s="434"/>
      <c r="SFC1" s="434"/>
      <c r="SFD1" s="434"/>
      <c r="SFE1" s="434"/>
      <c r="SFF1" s="434"/>
      <c r="SFG1" s="434"/>
      <c r="SFH1" s="434"/>
      <c r="SFI1" s="434"/>
      <c r="SFJ1" s="434"/>
      <c r="SFK1" s="434"/>
      <c r="SFL1" s="434"/>
      <c r="SFM1" s="434"/>
      <c r="SFN1" s="434"/>
      <c r="SFO1" s="434"/>
      <c r="SFP1" s="434"/>
      <c r="SFQ1" s="434"/>
      <c r="SFR1" s="434"/>
      <c r="SFS1" s="434"/>
      <c r="SFT1" s="434"/>
      <c r="SFU1" s="434"/>
      <c r="SFV1" s="434"/>
      <c r="SFW1" s="434"/>
      <c r="SFX1" s="434"/>
      <c r="SFY1" s="434"/>
      <c r="SFZ1" s="434"/>
      <c r="SGA1" s="434"/>
      <c r="SGB1" s="434"/>
      <c r="SGC1" s="434"/>
      <c r="SGD1" s="434"/>
      <c r="SGE1" s="434"/>
      <c r="SGF1" s="434"/>
      <c r="SGG1" s="434"/>
      <c r="SGH1" s="434"/>
      <c r="SGI1" s="434"/>
      <c r="SGJ1" s="434"/>
      <c r="SGK1" s="434"/>
      <c r="SGL1" s="434"/>
      <c r="SGM1" s="434"/>
      <c r="SGN1" s="434"/>
      <c r="SGO1" s="434"/>
      <c r="SGP1" s="434"/>
      <c r="SGQ1" s="434"/>
      <c r="SGR1" s="434"/>
      <c r="SGS1" s="434"/>
      <c r="SGT1" s="434"/>
      <c r="SGU1" s="434"/>
      <c r="SGV1" s="434"/>
      <c r="SGW1" s="434"/>
      <c r="SGX1" s="434"/>
      <c r="SGY1" s="434"/>
      <c r="SGZ1" s="434"/>
      <c r="SHA1" s="434"/>
      <c r="SHB1" s="434"/>
      <c r="SHC1" s="434"/>
      <c r="SHD1" s="434"/>
      <c r="SHE1" s="434"/>
      <c r="SHF1" s="434"/>
      <c r="SHG1" s="434"/>
      <c r="SHH1" s="434"/>
      <c r="SHI1" s="434"/>
      <c r="SHJ1" s="434"/>
      <c r="SHK1" s="434"/>
      <c r="SHL1" s="434"/>
      <c r="SHM1" s="434"/>
      <c r="SHN1" s="434"/>
      <c r="SHO1" s="434"/>
      <c r="SHP1" s="434"/>
      <c r="SHQ1" s="434"/>
      <c r="SHR1" s="434"/>
      <c r="SHS1" s="434"/>
      <c r="SHT1" s="434"/>
      <c r="SHU1" s="434"/>
      <c r="SHV1" s="434"/>
      <c r="SHW1" s="434"/>
      <c r="SHX1" s="434"/>
      <c r="SHY1" s="434"/>
      <c r="SHZ1" s="434"/>
      <c r="SIA1" s="434"/>
      <c r="SIB1" s="434"/>
      <c r="SIC1" s="434"/>
      <c r="SID1" s="434"/>
      <c r="SIE1" s="434"/>
      <c r="SIF1" s="434"/>
      <c r="SIG1" s="434"/>
      <c r="SIH1" s="434"/>
      <c r="SII1" s="434"/>
      <c r="SIJ1" s="434"/>
      <c r="SIK1" s="434"/>
      <c r="SIL1" s="434"/>
      <c r="SIM1" s="434"/>
      <c r="SIN1" s="434"/>
      <c r="SIO1" s="434"/>
      <c r="SIP1" s="434"/>
      <c r="SIQ1" s="434"/>
      <c r="SIR1" s="434"/>
      <c r="SIS1" s="434"/>
      <c r="SIT1" s="434"/>
      <c r="SIU1" s="434"/>
      <c r="SIV1" s="434"/>
      <c r="SIW1" s="434"/>
      <c r="SIX1" s="434"/>
      <c r="SIY1" s="434"/>
      <c r="SIZ1" s="434"/>
      <c r="SJA1" s="434"/>
      <c r="SJB1" s="434"/>
      <c r="SJC1" s="434"/>
      <c r="SJD1" s="434"/>
      <c r="SJE1" s="434"/>
      <c r="SJF1" s="434"/>
      <c r="SJG1" s="434"/>
      <c r="SJH1" s="434"/>
      <c r="SJI1" s="434"/>
      <c r="SJJ1" s="434"/>
      <c r="SJK1" s="434"/>
      <c r="SJL1" s="434"/>
      <c r="SJM1" s="434"/>
      <c r="SJN1" s="434"/>
      <c r="SJO1" s="434"/>
      <c r="SJP1" s="434"/>
      <c r="SJQ1" s="434"/>
      <c r="SJR1" s="434"/>
      <c r="SJS1" s="434"/>
      <c r="SJT1" s="434"/>
      <c r="SJU1" s="434"/>
      <c r="SJV1" s="434"/>
      <c r="SJW1" s="434"/>
      <c r="SJX1" s="434"/>
      <c r="SJY1" s="434"/>
      <c r="SJZ1" s="434"/>
      <c r="SKA1" s="434"/>
      <c r="SKB1" s="434"/>
      <c r="SKC1" s="434"/>
      <c r="SKD1" s="434"/>
      <c r="SKE1" s="434"/>
      <c r="SKF1" s="434"/>
      <c r="SKG1" s="434"/>
      <c r="SKH1" s="434"/>
      <c r="SKI1" s="434"/>
      <c r="SKJ1" s="434"/>
      <c r="SKK1" s="434"/>
      <c r="SKL1" s="434"/>
      <c r="SKM1" s="434"/>
      <c r="SKN1" s="434"/>
      <c r="SKO1" s="434"/>
      <c r="SKP1" s="434"/>
      <c r="SKQ1" s="434"/>
      <c r="SKR1" s="434"/>
      <c r="SKS1" s="434"/>
      <c r="SKT1" s="434"/>
      <c r="SKU1" s="434"/>
      <c r="SKV1" s="434"/>
      <c r="SKW1" s="434"/>
      <c r="SKX1" s="434"/>
      <c r="SKY1" s="434"/>
      <c r="SKZ1" s="434"/>
      <c r="SLA1" s="434"/>
      <c r="SLB1" s="434"/>
      <c r="SLC1" s="434"/>
      <c r="SLD1" s="434"/>
      <c r="SLE1" s="434"/>
      <c r="SLF1" s="434"/>
      <c r="SLG1" s="434"/>
      <c r="SLH1" s="434"/>
      <c r="SLI1" s="434"/>
      <c r="SLJ1" s="434"/>
      <c r="SLK1" s="434"/>
      <c r="SLL1" s="434"/>
      <c r="SLM1" s="434"/>
      <c r="SLN1" s="434"/>
      <c r="SLO1" s="434"/>
      <c r="SLP1" s="434"/>
      <c r="SLQ1" s="434"/>
      <c r="SLR1" s="434"/>
      <c r="SLS1" s="434"/>
      <c r="SLT1" s="434"/>
      <c r="SLU1" s="434"/>
      <c r="SLV1" s="434"/>
      <c r="SLW1" s="434"/>
      <c r="SLX1" s="434"/>
      <c r="SLY1" s="434"/>
      <c r="SLZ1" s="434"/>
      <c r="SMA1" s="434"/>
      <c r="SMB1" s="434"/>
      <c r="SMC1" s="434"/>
      <c r="SMD1" s="434"/>
      <c r="SME1" s="434"/>
      <c r="SMF1" s="434"/>
      <c r="SMG1" s="434"/>
      <c r="SMH1" s="434"/>
      <c r="SMI1" s="434"/>
      <c r="SMJ1" s="434"/>
      <c r="SMK1" s="434"/>
      <c r="SML1" s="434"/>
      <c r="SMM1" s="434"/>
      <c r="SMN1" s="434"/>
      <c r="SMO1" s="434"/>
      <c r="SMP1" s="434"/>
      <c r="SMQ1" s="434"/>
      <c r="SMR1" s="434"/>
      <c r="SMS1" s="434"/>
      <c r="SMT1" s="434"/>
      <c r="SMU1" s="434"/>
      <c r="SMV1" s="434"/>
      <c r="SMW1" s="434"/>
      <c r="SMX1" s="434"/>
      <c r="SMY1" s="434"/>
      <c r="SMZ1" s="434"/>
      <c r="SNA1" s="434"/>
      <c r="SNB1" s="434"/>
      <c r="SNC1" s="434"/>
      <c r="SND1" s="434"/>
      <c r="SNE1" s="434"/>
      <c r="SNF1" s="434"/>
      <c r="SNG1" s="434"/>
      <c r="SNH1" s="434"/>
      <c r="SNI1" s="434"/>
      <c r="SNJ1" s="434"/>
      <c r="SNK1" s="434"/>
      <c r="SNL1" s="434"/>
      <c r="SNM1" s="434"/>
      <c r="SNN1" s="434"/>
      <c r="SNO1" s="434"/>
      <c r="SNP1" s="434"/>
      <c r="SNQ1" s="434"/>
      <c r="SNR1" s="434"/>
      <c r="SNS1" s="434"/>
      <c r="SNT1" s="434"/>
      <c r="SNU1" s="434"/>
      <c r="SNV1" s="434"/>
      <c r="SNW1" s="434"/>
      <c r="SNX1" s="434"/>
      <c r="SNY1" s="434"/>
      <c r="SNZ1" s="434"/>
      <c r="SOA1" s="434"/>
      <c r="SOB1" s="434"/>
      <c r="SOC1" s="434"/>
      <c r="SOD1" s="434"/>
      <c r="SOE1" s="434"/>
      <c r="SOF1" s="434"/>
      <c r="SOG1" s="434"/>
      <c r="SOH1" s="434"/>
      <c r="SOI1" s="434"/>
      <c r="SOJ1" s="434"/>
      <c r="SOK1" s="434"/>
      <c r="SOL1" s="434"/>
      <c r="SOM1" s="434"/>
      <c r="SON1" s="434"/>
      <c r="SOO1" s="434"/>
      <c r="SOP1" s="434"/>
      <c r="SOQ1" s="434"/>
      <c r="SOR1" s="434"/>
      <c r="SOS1" s="434"/>
      <c r="SOT1" s="434"/>
      <c r="SOU1" s="434"/>
      <c r="SOV1" s="434"/>
      <c r="SOW1" s="434"/>
      <c r="SOX1" s="434"/>
      <c r="SOY1" s="434"/>
      <c r="SOZ1" s="434"/>
      <c r="SPA1" s="434"/>
      <c r="SPB1" s="434"/>
      <c r="SPC1" s="434"/>
      <c r="SPD1" s="434"/>
      <c r="SPE1" s="434"/>
      <c r="SPF1" s="434"/>
      <c r="SPG1" s="434"/>
      <c r="SPH1" s="434"/>
      <c r="SPI1" s="434"/>
      <c r="SPJ1" s="434"/>
      <c r="SPK1" s="434"/>
      <c r="SPL1" s="434"/>
      <c r="SPM1" s="434"/>
      <c r="SPN1" s="434"/>
      <c r="SPO1" s="434"/>
      <c r="SPP1" s="434"/>
      <c r="SPQ1" s="434"/>
      <c r="SPR1" s="434"/>
      <c r="SPS1" s="434"/>
      <c r="SPT1" s="434"/>
      <c r="SPU1" s="434"/>
      <c r="SPV1" s="434"/>
      <c r="SPW1" s="434"/>
      <c r="SPX1" s="434"/>
      <c r="SPY1" s="434"/>
      <c r="SPZ1" s="434"/>
      <c r="SQA1" s="434"/>
      <c r="SQB1" s="434"/>
      <c r="SQC1" s="434"/>
      <c r="SQD1" s="434"/>
      <c r="SQE1" s="434"/>
      <c r="SQF1" s="434"/>
      <c r="SQG1" s="434"/>
      <c r="SQH1" s="434"/>
      <c r="SQI1" s="434"/>
      <c r="SQJ1" s="434"/>
      <c r="SQK1" s="434"/>
      <c r="SQL1" s="434"/>
      <c r="SQM1" s="434"/>
      <c r="SQN1" s="434"/>
      <c r="SQO1" s="434"/>
      <c r="SQP1" s="434"/>
      <c r="SQQ1" s="434"/>
      <c r="SQR1" s="434"/>
      <c r="SQS1" s="434"/>
      <c r="SQT1" s="434"/>
      <c r="SQU1" s="434"/>
      <c r="SQV1" s="434"/>
      <c r="SQW1" s="434"/>
      <c r="SQX1" s="434"/>
      <c r="SQY1" s="434"/>
      <c r="SQZ1" s="434"/>
      <c r="SRA1" s="434"/>
      <c r="SRB1" s="434"/>
      <c r="SRC1" s="434"/>
      <c r="SRD1" s="434"/>
      <c r="SRE1" s="434"/>
      <c r="SRF1" s="434"/>
      <c r="SRG1" s="434"/>
      <c r="SRH1" s="434"/>
      <c r="SRI1" s="434"/>
      <c r="SRJ1" s="434"/>
      <c r="SRK1" s="434"/>
      <c r="SRL1" s="434"/>
      <c r="SRM1" s="434"/>
      <c r="SRN1" s="434"/>
      <c r="SRO1" s="434"/>
      <c r="SRP1" s="434"/>
      <c r="SRQ1" s="434"/>
      <c r="SRR1" s="434"/>
      <c r="SRS1" s="434"/>
      <c r="SRT1" s="434"/>
      <c r="SRU1" s="434"/>
      <c r="SRV1" s="434"/>
      <c r="SRW1" s="434"/>
      <c r="SRX1" s="434"/>
      <c r="SRY1" s="434"/>
      <c r="SRZ1" s="434"/>
      <c r="SSA1" s="434"/>
      <c r="SSB1" s="434"/>
      <c r="SSC1" s="434"/>
      <c r="SSD1" s="434"/>
      <c r="SSE1" s="434"/>
      <c r="SSF1" s="434"/>
      <c r="SSG1" s="434"/>
      <c r="SSH1" s="434"/>
      <c r="SSI1" s="434"/>
      <c r="SSJ1" s="434"/>
      <c r="SSK1" s="434"/>
      <c r="SSL1" s="434"/>
      <c r="SSM1" s="434"/>
      <c r="SSN1" s="434"/>
      <c r="SSO1" s="434"/>
      <c r="SSP1" s="434"/>
      <c r="SSQ1" s="434"/>
      <c r="SSR1" s="434"/>
      <c r="SSS1" s="434"/>
      <c r="SST1" s="434"/>
      <c r="SSU1" s="434"/>
      <c r="SSV1" s="434"/>
      <c r="SSW1" s="434"/>
      <c r="SSX1" s="434"/>
      <c r="SSY1" s="434"/>
      <c r="SSZ1" s="434"/>
      <c r="STA1" s="434"/>
      <c r="STB1" s="434"/>
      <c r="STC1" s="434"/>
      <c r="STD1" s="434"/>
      <c r="STE1" s="434"/>
      <c r="STF1" s="434"/>
      <c r="STG1" s="434"/>
      <c r="STH1" s="434"/>
      <c r="STI1" s="434"/>
      <c r="STJ1" s="434"/>
      <c r="STK1" s="434"/>
      <c r="STL1" s="434"/>
      <c r="STM1" s="434"/>
      <c r="STN1" s="434"/>
      <c r="STO1" s="434"/>
      <c r="STP1" s="434"/>
      <c r="STQ1" s="434"/>
      <c r="STR1" s="434"/>
      <c r="STS1" s="434"/>
      <c r="STT1" s="434"/>
      <c r="STU1" s="434"/>
      <c r="STV1" s="434"/>
      <c r="STW1" s="434"/>
      <c r="STX1" s="434"/>
      <c r="STY1" s="434"/>
      <c r="STZ1" s="434"/>
      <c r="SUA1" s="434"/>
      <c r="SUB1" s="434"/>
      <c r="SUC1" s="434"/>
      <c r="SUD1" s="434"/>
      <c r="SUE1" s="434"/>
      <c r="SUF1" s="434"/>
      <c r="SUG1" s="434"/>
      <c r="SUH1" s="434"/>
      <c r="SUI1" s="434"/>
      <c r="SUJ1" s="434"/>
      <c r="SUK1" s="434"/>
      <c r="SUL1" s="434"/>
      <c r="SUM1" s="434"/>
      <c r="SUN1" s="434"/>
      <c r="SUO1" s="434"/>
      <c r="SUP1" s="434"/>
      <c r="SUQ1" s="434"/>
      <c r="SUR1" s="434"/>
      <c r="SUS1" s="434"/>
      <c r="SUT1" s="434"/>
      <c r="SUU1" s="434"/>
      <c r="SUV1" s="434"/>
      <c r="SUW1" s="434"/>
      <c r="SUX1" s="434"/>
      <c r="SUY1" s="434"/>
      <c r="SUZ1" s="434"/>
      <c r="SVA1" s="434"/>
      <c r="SVB1" s="434"/>
      <c r="SVC1" s="434"/>
      <c r="SVD1" s="434"/>
      <c r="SVE1" s="434"/>
      <c r="SVF1" s="434"/>
      <c r="SVG1" s="434"/>
      <c r="SVH1" s="434"/>
      <c r="SVI1" s="434"/>
      <c r="SVJ1" s="434"/>
      <c r="SVK1" s="434"/>
      <c r="SVL1" s="434"/>
      <c r="SVM1" s="434"/>
      <c r="SVN1" s="434"/>
      <c r="SVO1" s="434"/>
      <c r="SVP1" s="434"/>
      <c r="SVQ1" s="434"/>
      <c r="SVR1" s="434"/>
      <c r="SVS1" s="434"/>
      <c r="SVT1" s="434"/>
      <c r="SVU1" s="434"/>
      <c r="SVV1" s="434"/>
      <c r="SVW1" s="434"/>
      <c r="SVX1" s="434"/>
      <c r="SVY1" s="434"/>
      <c r="SVZ1" s="434"/>
      <c r="SWA1" s="434"/>
      <c r="SWB1" s="434"/>
      <c r="SWC1" s="434"/>
      <c r="SWD1" s="434"/>
      <c r="SWE1" s="434"/>
      <c r="SWF1" s="434"/>
      <c r="SWG1" s="434"/>
      <c r="SWH1" s="434"/>
      <c r="SWI1" s="434"/>
      <c r="SWJ1" s="434"/>
      <c r="SWK1" s="434"/>
      <c r="SWL1" s="434"/>
      <c r="SWM1" s="434"/>
      <c r="SWN1" s="434"/>
      <c r="SWO1" s="434"/>
      <c r="SWP1" s="434"/>
      <c r="SWQ1" s="434"/>
      <c r="SWR1" s="434"/>
      <c r="SWS1" s="434"/>
      <c r="SWT1" s="434"/>
      <c r="SWU1" s="434"/>
      <c r="SWV1" s="434"/>
      <c r="SWW1" s="434"/>
      <c r="SWX1" s="434"/>
      <c r="SWY1" s="434"/>
      <c r="SWZ1" s="434"/>
      <c r="SXA1" s="434"/>
      <c r="SXB1" s="434"/>
      <c r="SXC1" s="434"/>
      <c r="SXD1" s="434"/>
      <c r="SXE1" s="434"/>
      <c r="SXF1" s="434"/>
      <c r="SXG1" s="434"/>
      <c r="SXH1" s="434"/>
      <c r="SXI1" s="434"/>
      <c r="SXJ1" s="434"/>
      <c r="SXK1" s="434"/>
      <c r="SXL1" s="434"/>
      <c r="SXM1" s="434"/>
      <c r="SXN1" s="434"/>
      <c r="SXO1" s="434"/>
      <c r="SXP1" s="434"/>
      <c r="SXQ1" s="434"/>
      <c r="SXR1" s="434"/>
      <c r="SXS1" s="434"/>
      <c r="SXT1" s="434"/>
      <c r="SXU1" s="434"/>
      <c r="SXV1" s="434"/>
      <c r="SXW1" s="434"/>
      <c r="SXX1" s="434"/>
      <c r="SXY1" s="434"/>
      <c r="SXZ1" s="434"/>
      <c r="SYA1" s="434"/>
      <c r="SYB1" s="434"/>
      <c r="SYC1" s="434"/>
      <c r="SYD1" s="434"/>
      <c r="SYE1" s="434"/>
      <c r="SYF1" s="434"/>
      <c r="SYG1" s="434"/>
      <c r="SYH1" s="434"/>
      <c r="SYI1" s="434"/>
      <c r="SYJ1" s="434"/>
      <c r="SYK1" s="434"/>
      <c r="SYL1" s="434"/>
      <c r="SYM1" s="434"/>
      <c r="SYN1" s="434"/>
      <c r="SYO1" s="434"/>
      <c r="SYP1" s="434"/>
      <c r="SYQ1" s="434"/>
      <c r="SYR1" s="434"/>
      <c r="SYS1" s="434"/>
      <c r="SYT1" s="434"/>
      <c r="SYU1" s="434"/>
      <c r="SYV1" s="434"/>
      <c r="SYW1" s="434"/>
      <c r="SYX1" s="434"/>
      <c r="SYY1" s="434"/>
      <c r="SYZ1" s="434"/>
      <c r="SZA1" s="434"/>
      <c r="SZB1" s="434"/>
      <c r="SZC1" s="434"/>
      <c r="SZD1" s="434"/>
      <c r="SZE1" s="434"/>
      <c r="SZF1" s="434"/>
      <c r="SZG1" s="434"/>
      <c r="SZH1" s="434"/>
      <c r="SZI1" s="434"/>
      <c r="SZJ1" s="434"/>
      <c r="SZK1" s="434"/>
      <c r="SZL1" s="434"/>
      <c r="SZM1" s="434"/>
      <c r="SZN1" s="434"/>
      <c r="SZO1" s="434"/>
      <c r="SZP1" s="434"/>
      <c r="SZQ1" s="434"/>
      <c r="SZR1" s="434"/>
      <c r="SZS1" s="434"/>
      <c r="SZT1" s="434"/>
      <c r="SZU1" s="434"/>
      <c r="SZV1" s="434"/>
      <c r="SZW1" s="434"/>
      <c r="SZX1" s="434"/>
      <c r="SZY1" s="434"/>
      <c r="SZZ1" s="434"/>
      <c r="TAA1" s="434"/>
      <c r="TAB1" s="434"/>
      <c r="TAC1" s="434"/>
      <c r="TAD1" s="434"/>
      <c r="TAE1" s="434"/>
      <c r="TAF1" s="434"/>
      <c r="TAG1" s="434"/>
      <c r="TAH1" s="434"/>
      <c r="TAI1" s="434"/>
      <c r="TAJ1" s="434"/>
      <c r="TAK1" s="434"/>
      <c r="TAL1" s="434"/>
      <c r="TAM1" s="434"/>
      <c r="TAN1" s="434"/>
      <c r="TAO1" s="434"/>
      <c r="TAP1" s="434"/>
      <c r="TAQ1" s="434"/>
      <c r="TAR1" s="434"/>
      <c r="TAS1" s="434"/>
      <c r="TAT1" s="434"/>
      <c r="TAU1" s="434"/>
      <c r="TAV1" s="434"/>
      <c r="TAW1" s="434"/>
      <c r="TAX1" s="434"/>
      <c r="TAY1" s="434"/>
      <c r="TAZ1" s="434"/>
      <c r="TBA1" s="434"/>
      <c r="TBB1" s="434"/>
      <c r="TBC1" s="434"/>
      <c r="TBD1" s="434"/>
      <c r="TBE1" s="434"/>
      <c r="TBF1" s="434"/>
      <c r="TBG1" s="434"/>
      <c r="TBH1" s="434"/>
      <c r="TBI1" s="434"/>
      <c r="TBJ1" s="434"/>
      <c r="TBK1" s="434"/>
      <c r="TBL1" s="434"/>
      <c r="TBM1" s="434"/>
      <c r="TBN1" s="434"/>
      <c r="TBO1" s="434"/>
      <c r="TBP1" s="434"/>
      <c r="TBQ1" s="434"/>
      <c r="TBR1" s="434"/>
      <c r="TBS1" s="434"/>
      <c r="TBT1" s="434"/>
      <c r="TBU1" s="434"/>
      <c r="TBV1" s="434"/>
      <c r="TBW1" s="434"/>
      <c r="TBX1" s="434"/>
      <c r="TBY1" s="434"/>
      <c r="TBZ1" s="434"/>
      <c r="TCA1" s="434"/>
      <c r="TCB1" s="434"/>
      <c r="TCC1" s="434"/>
      <c r="TCD1" s="434"/>
      <c r="TCE1" s="434"/>
      <c r="TCF1" s="434"/>
      <c r="TCG1" s="434"/>
      <c r="TCH1" s="434"/>
      <c r="TCI1" s="434"/>
      <c r="TCJ1" s="434"/>
      <c r="TCK1" s="434"/>
      <c r="TCL1" s="434"/>
      <c r="TCM1" s="434"/>
      <c r="TCN1" s="434"/>
      <c r="TCO1" s="434"/>
      <c r="TCP1" s="434"/>
      <c r="TCQ1" s="434"/>
      <c r="TCR1" s="434"/>
      <c r="TCS1" s="434"/>
      <c r="TCT1" s="434"/>
      <c r="TCU1" s="434"/>
      <c r="TCV1" s="434"/>
      <c r="TCW1" s="434"/>
      <c r="TCX1" s="434"/>
      <c r="TCY1" s="434"/>
      <c r="TCZ1" s="434"/>
      <c r="TDA1" s="434"/>
      <c r="TDB1" s="434"/>
      <c r="TDC1" s="434"/>
      <c r="TDD1" s="434"/>
      <c r="TDE1" s="434"/>
      <c r="TDF1" s="434"/>
      <c r="TDG1" s="434"/>
      <c r="TDH1" s="434"/>
      <c r="TDI1" s="434"/>
      <c r="TDJ1" s="434"/>
      <c r="TDK1" s="434"/>
      <c r="TDL1" s="434"/>
      <c r="TDM1" s="434"/>
      <c r="TDN1" s="434"/>
      <c r="TDO1" s="434"/>
      <c r="TDP1" s="434"/>
      <c r="TDQ1" s="434"/>
      <c r="TDR1" s="434"/>
      <c r="TDS1" s="434"/>
      <c r="TDT1" s="434"/>
      <c r="TDU1" s="434"/>
      <c r="TDV1" s="434"/>
      <c r="TDW1" s="434"/>
      <c r="TDX1" s="434"/>
      <c r="TDY1" s="434"/>
      <c r="TDZ1" s="434"/>
      <c r="TEA1" s="434"/>
      <c r="TEB1" s="434"/>
      <c r="TEC1" s="434"/>
      <c r="TED1" s="434"/>
      <c r="TEE1" s="434"/>
      <c r="TEF1" s="434"/>
      <c r="TEG1" s="434"/>
      <c r="TEH1" s="434"/>
      <c r="TEI1" s="434"/>
      <c r="TEJ1" s="434"/>
      <c r="TEK1" s="434"/>
      <c r="TEL1" s="434"/>
      <c r="TEM1" s="434"/>
      <c r="TEN1" s="434"/>
      <c r="TEO1" s="434"/>
      <c r="TEP1" s="434"/>
      <c r="TEQ1" s="434"/>
      <c r="TER1" s="434"/>
      <c r="TES1" s="434"/>
      <c r="TET1" s="434"/>
      <c r="TEU1" s="434"/>
      <c r="TEV1" s="434"/>
      <c r="TEW1" s="434"/>
      <c r="TEX1" s="434"/>
      <c r="TEY1" s="434"/>
      <c r="TEZ1" s="434"/>
      <c r="TFA1" s="434"/>
      <c r="TFB1" s="434"/>
      <c r="TFC1" s="434"/>
      <c r="TFD1" s="434"/>
      <c r="TFE1" s="434"/>
      <c r="TFF1" s="434"/>
      <c r="TFG1" s="434"/>
      <c r="TFH1" s="434"/>
      <c r="TFI1" s="434"/>
      <c r="TFJ1" s="434"/>
      <c r="TFK1" s="434"/>
      <c r="TFL1" s="434"/>
      <c r="TFM1" s="434"/>
      <c r="TFN1" s="434"/>
      <c r="TFO1" s="434"/>
      <c r="TFP1" s="434"/>
      <c r="TFQ1" s="434"/>
      <c r="TFR1" s="434"/>
      <c r="TFS1" s="434"/>
      <c r="TFT1" s="434"/>
      <c r="TFU1" s="434"/>
      <c r="TFV1" s="434"/>
      <c r="TFW1" s="434"/>
      <c r="TFX1" s="434"/>
      <c r="TFY1" s="434"/>
      <c r="TFZ1" s="434"/>
      <c r="TGA1" s="434"/>
      <c r="TGB1" s="434"/>
      <c r="TGC1" s="434"/>
      <c r="TGD1" s="434"/>
      <c r="TGE1" s="434"/>
      <c r="TGF1" s="434"/>
      <c r="TGG1" s="434"/>
      <c r="TGH1" s="434"/>
      <c r="TGI1" s="434"/>
      <c r="TGJ1" s="434"/>
      <c r="TGK1" s="434"/>
      <c r="TGL1" s="434"/>
      <c r="TGM1" s="434"/>
      <c r="TGN1" s="434"/>
      <c r="TGO1" s="434"/>
      <c r="TGP1" s="434"/>
      <c r="TGQ1" s="434"/>
      <c r="TGR1" s="434"/>
      <c r="TGS1" s="434"/>
      <c r="TGT1" s="434"/>
      <c r="TGU1" s="434"/>
      <c r="TGV1" s="434"/>
      <c r="TGW1" s="434"/>
      <c r="TGX1" s="434"/>
      <c r="TGY1" s="434"/>
      <c r="TGZ1" s="434"/>
      <c r="THA1" s="434"/>
      <c r="THB1" s="434"/>
      <c r="THC1" s="434"/>
      <c r="THD1" s="434"/>
      <c r="THE1" s="434"/>
      <c r="THF1" s="434"/>
      <c r="THG1" s="434"/>
      <c r="THH1" s="434"/>
      <c r="THI1" s="434"/>
      <c r="THJ1" s="434"/>
      <c r="THK1" s="434"/>
      <c r="THL1" s="434"/>
      <c r="THM1" s="434"/>
      <c r="THN1" s="434"/>
      <c r="THO1" s="434"/>
      <c r="THP1" s="434"/>
      <c r="THQ1" s="434"/>
      <c r="THR1" s="434"/>
      <c r="THS1" s="434"/>
      <c r="THT1" s="434"/>
      <c r="THU1" s="434"/>
      <c r="THV1" s="434"/>
      <c r="THW1" s="434"/>
      <c r="THX1" s="434"/>
      <c r="THY1" s="434"/>
      <c r="THZ1" s="434"/>
      <c r="TIA1" s="434"/>
      <c r="TIB1" s="434"/>
      <c r="TIC1" s="434"/>
      <c r="TID1" s="434"/>
      <c r="TIE1" s="434"/>
      <c r="TIF1" s="434"/>
      <c r="TIG1" s="434"/>
      <c r="TIH1" s="434"/>
      <c r="TII1" s="434"/>
      <c r="TIJ1" s="434"/>
      <c r="TIK1" s="434"/>
      <c r="TIL1" s="434"/>
      <c r="TIM1" s="434"/>
      <c r="TIN1" s="434"/>
      <c r="TIO1" s="434"/>
      <c r="TIP1" s="434"/>
      <c r="TIQ1" s="434"/>
      <c r="TIR1" s="434"/>
      <c r="TIS1" s="434"/>
      <c r="TIT1" s="434"/>
      <c r="TIU1" s="434"/>
      <c r="TIV1" s="434"/>
      <c r="TIW1" s="434"/>
      <c r="TIX1" s="434"/>
      <c r="TIY1" s="434"/>
      <c r="TIZ1" s="434"/>
      <c r="TJA1" s="434"/>
      <c r="TJB1" s="434"/>
      <c r="TJC1" s="434"/>
      <c r="TJD1" s="434"/>
      <c r="TJE1" s="434"/>
      <c r="TJF1" s="434"/>
      <c r="TJG1" s="434"/>
      <c r="TJH1" s="434"/>
      <c r="TJI1" s="434"/>
      <c r="TJJ1" s="434"/>
      <c r="TJK1" s="434"/>
      <c r="TJL1" s="434"/>
      <c r="TJM1" s="434"/>
      <c r="TJN1" s="434"/>
      <c r="TJO1" s="434"/>
      <c r="TJP1" s="434"/>
      <c r="TJQ1" s="434"/>
      <c r="TJR1" s="434"/>
      <c r="TJS1" s="434"/>
      <c r="TJT1" s="434"/>
      <c r="TJU1" s="434"/>
      <c r="TJV1" s="434"/>
      <c r="TJW1" s="434"/>
      <c r="TJX1" s="434"/>
      <c r="TJY1" s="434"/>
      <c r="TJZ1" s="434"/>
      <c r="TKA1" s="434"/>
      <c r="TKB1" s="434"/>
      <c r="TKC1" s="434"/>
      <c r="TKD1" s="434"/>
      <c r="TKE1" s="434"/>
      <c r="TKF1" s="434"/>
      <c r="TKG1" s="434"/>
      <c r="TKH1" s="434"/>
      <c r="TKI1" s="434"/>
      <c r="TKJ1" s="434"/>
      <c r="TKK1" s="434"/>
      <c r="TKL1" s="434"/>
      <c r="TKM1" s="434"/>
      <c r="TKN1" s="434"/>
      <c r="TKO1" s="434"/>
      <c r="TKP1" s="434"/>
      <c r="TKQ1" s="434"/>
      <c r="TKR1" s="434"/>
      <c r="TKS1" s="434"/>
      <c r="TKT1" s="434"/>
      <c r="TKU1" s="434"/>
      <c r="TKV1" s="434"/>
      <c r="TKW1" s="434"/>
      <c r="TKX1" s="434"/>
      <c r="TKY1" s="434"/>
      <c r="TKZ1" s="434"/>
      <c r="TLA1" s="434"/>
      <c r="TLB1" s="434"/>
      <c r="TLC1" s="434"/>
      <c r="TLD1" s="434"/>
      <c r="TLE1" s="434"/>
      <c r="TLF1" s="434"/>
      <c r="TLG1" s="434"/>
      <c r="TLH1" s="434"/>
      <c r="TLI1" s="434"/>
      <c r="TLJ1" s="434"/>
      <c r="TLK1" s="434"/>
      <c r="TLL1" s="434"/>
      <c r="TLM1" s="434"/>
      <c r="TLN1" s="434"/>
      <c r="TLO1" s="434"/>
      <c r="TLP1" s="434"/>
      <c r="TLQ1" s="434"/>
      <c r="TLR1" s="434"/>
      <c r="TLS1" s="434"/>
      <c r="TLT1" s="434"/>
      <c r="TLU1" s="434"/>
      <c r="TLV1" s="434"/>
      <c r="TLW1" s="434"/>
      <c r="TLX1" s="434"/>
      <c r="TLY1" s="434"/>
      <c r="TLZ1" s="434"/>
      <c r="TMA1" s="434"/>
      <c r="TMB1" s="434"/>
      <c r="TMC1" s="434"/>
      <c r="TMD1" s="434"/>
      <c r="TME1" s="434"/>
      <c r="TMF1" s="434"/>
      <c r="TMG1" s="434"/>
      <c r="TMH1" s="434"/>
      <c r="TMI1" s="434"/>
      <c r="TMJ1" s="434"/>
      <c r="TMK1" s="434"/>
      <c r="TML1" s="434"/>
      <c r="TMM1" s="434"/>
      <c r="TMN1" s="434"/>
      <c r="TMO1" s="434"/>
      <c r="TMP1" s="434"/>
      <c r="TMQ1" s="434"/>
      <c r="TMR1" s="434"/>
      <c r="TMS1" s="434"/>
      <c r="TMT1" s="434"/>
      <c r="TMU1" s="434"/>
      <c r="TMV1" s="434"/>
      <c r="TMW1" s="434"/>
      <c r="TMX1" s="434"/>
      <c r="TMY1" s="434"/>
      <c r="TMZ1" s="434"/>
      <c r="TNA1" s="434"/>
      <c r="TNB1" s="434"/>
      <c r="TNC1" s="434"/>
      <c r="TND1" s="434"/>
      <c r="TNE1" s="434"/>
      <c r="TNF1" s="434"/>
      <c r="TNG1" s="434"/>
      <c r="TNH1" s="434"/>
      <c r="TNI1" s="434"/>
      <c r="TNJ1" s="434"/>
      <c r="TNK1" s="434"/>
      <c r="TNL1" s="434"/>
      <c r="TNM1" s="434"/>
      <c r="TNN1" s="434"/>
      <c r="TNO1" s="434"/>
      <c r="TNP1" s="434"/>
      <c r="TNQ1" s="434"/>
      <c r="TNR1" s="434"/>
      <c r="TNS1" s="434"/>
      <c r="TNT1" s="434"/>
      <c r="TNU1" s="434"/>
      <c r="TNV1" s="434"/>
      <c r="TNW1" s="434"/>
      <c r="TNX1" s="434"/>
      <c r="TNY1" s="434"/>
      <c r="TNZ1" s="434"/>
      <c r="TOA1" s="434"/>
      <c r="TOB1" s="434"/>
      <c r="TOC1" s="434"/>
      <c r="TOD1" s="434"/>
      <c r="TOE1" s="434"/>
      <c r="TOF1" s="434"/>
      <c r="TOG1" s="434"/>
      <c r="TOH1" s="434"/>
      <c r="TOI1" s="434"/>
      <c r="TOJ1" s="434"/>
      <c r="TOK1" s="434"/>
      <c r="TOL1" s="434"/>
      <c r="TOM1" s="434"/>
      <c r="TON1" s="434"/>
      <c r="TOO1" s="434"/>
      <c r="TOP1" s="434"/>
      <c r="TOQ1" s="434"/>
      <c r="TOR1" s="434"/>
      <c r="TOS1" s="434"/>
      <c r="TOT1" s="434"/>
      <c r="TOU1" s="434"/>
      <c r="TOV1" s="434"/>
      <c r="TOW1" s="434"/>
      <c r="TOX1" s="434"/>
      <c r="TOY1" s="434"/>
      <c r="TOZ1" s="434"/>
      <c r="TPA1" s="434"/>
      <c r="TPB1" s="434"/>
      <c r="TPC1" s="434"/>
      <c r="TPD1" s="434"/>
      <c r="TPE1" s="434"/>
      <c r="TPF1" s="434"/>
      <c r="TPG1" s="434"/>
      <c r="TPH1" s="434"/>
      <c r="TPI1" s="434"/>
      <c r="TPJ1" s="434"/>
      <c r="TPK1" s="434"/>
      <c r="TPL1" s="434"/>
      <c r="TPM1" s="434"/>
      <c r="TPN1" s="434"/>
      <c r="TPO1" s="434"/>
      <c r="TPP1" s="434"/>
      <c r="TPQ1" s="434"/>
      <c r="TPR1" s="434"/>
      <c r="TPS1" s="434"/>
      <c r="TPT1" s="434"/>
      <c r="TPU1" s="434"/>
      <c r="TPV1" s="434"/>
      <c r="TPW1" s="434"/>
      <c r="TPX1" s="434"/>
      <c r="TPY1" s="434"/>
      <c r="TPZ1" s="434"/>
      <c r="TQA1" s="434"/>
      <c r="TQB1" s="434"/>
      <c r="TQC1" s="434"/>
      <c r="TQD1" s="434"/>
      <c r="TQE1" s="434"/>
      <c r="TQF1" s="434"/>
      <c r="TQG1" s="434"/>
      <c r="TQH1" s="434"/>
      <c r="TQI1" s="434"/>
      <c r="TQJ1" s="434"/>
      <c r="TQK1" s="434"/>
      <c r="TQL1" s="434"/>
      <c r="TQM1" s="434"/>
      <c r="TQN1" s="434"/>
      <c r="TQO1" s="434"/>
      <c r="TQP1" s="434"/>
      <c r="TQQ1" s="434"/>
      <c r="TQR1" s="434"/>
      <c r="TQS1" s="434"/>
      <c r="TQT1" s="434"/>
      <c r="TQU1" s="434"/>
      <c r="TQV1" s="434"/>
      <c r="TQW1" s="434"/>
      <c r="TQX1" s="434"/>
      <c r="TQY1" s="434"/>
      <c r="TQZ1" s="434"/>
      <c r="TRA1" s="434"/>
      <c r="TRB1" s="434"/>
      <c r="TRC1" s="434"/>
      <c r="TRD1" s="434"/>
      <c r="TRE1" s="434"/>
      <c r="TRF1" s="434"/>
      <c r="TRG1" s="434"/>
      <c r="TRH1" s="434"/>
      <c r="TRI1" s="434"/>
      <c r="TRJ1" s="434"/>
      <c r="TRK1" s="434"/>
      <c r="TRL1" s="434"/>
      <c r="TRM1" s="434"/>
      <c r="TRN1" s="434"/>
      <c r="TRO1" s="434"/>
      <c r="TRP1" s="434"/>
      <c r="TRQ1" s="434"/>
      <c r="TRR1" s="434"/>
      <c r="TRS1" s="434"/>
      <c r="TRT1" s="434"/>
      <c r="TRU1" s="434"/>
      <c r="TRV1" s="434"/>
      <c r="TRW1" s="434"/>
      <c r="TRX1" s="434"/>
      <c r="TRY1" s="434"/>
      <c r="TRZ1" s="434"/>
      <c r="TSA1" s="434"/>
      <c r="TSB1" s="434"/>
      <c r="TSC1" s="434"/>
      <c r="TSD1" s="434"/>
      <c r="TSE1" s="434"/>
      <c r="TSF1" s="434"/>
      <c r="TSG1" s="434"/>
      <c r="TSH1" s="434"/>
      <c r="TSI1" s="434"/>
      <c r="TSJ1" s="434"/>
      <c r="TSK1" s="434"/>
      <c r="TSL1" s="434"/>
      <c r="TSM1" s="434"/>
      <c r="TSN1" s="434"/>
      <c r="TSO1" s="434"/>
      <c r="TSP1" s="434"/>
      <c r="TSQ1" s="434"/>
      <c r="TSR1" s="434"/>
      <c r="TSS1" s="434"/>
      <c r="TST1" s="434"/>
      <c r="TSU1" s="434"/>
      <c r="TSV1" s="434"/>
      <c r="TSW1" s="434"/>
      <c r="TSX1" s="434"/>
      <c r="TSY1" s="434"/>
      <c r="TSZ1" s="434"/>
      <c r="TTA1" s="434"/>
      <c r="TTB1" s="434"/>
      <c r="TTC1" s="434"/>
      <c r="TTD1" s="434"/>
      <c r="TTE1" s="434"/>
      <c r="TTF1" s="434"/>
      <c r="TTG1" s="434"/>
      <c r="TTH1" s="434"/>
      <c r="TTI1" s="434"/>
      <c r="TTJ1" s="434"/>
      <c r="TTK1" s="434"/>
      <c r="TTL1" s="434"/>
      <c r="TTM1" s="434"/>
      <c r="TTN1" s="434"/>
      <c r="TTO1" s="434"/>
      <c r="TTP1" s="434"/>
      <c r="TTQ1" s="434"/>
      <c r="TTR1" s="434"/>
      <c r="TTS1" s="434"/>
      <c r="TTT1" s="434"/>
      <c r="TTU1" s="434"/>
      <c r="TTV1" s="434"/>
      <c r="TTW1" s="434"/>
      <c r="TTX1" s="434"/>
      <c r="TTY1" s="434"/>
      <c r="TTZ1" s="434"/>
      <c r="TUA1" s="434"/>
      <c r="TUB1" s="434"/>
      <c r="TUC1" s="434"/>
      <c r="TUD1" s="434"/>
      <c r="TUE1" s="434"/>
      <c r="TUF1" s="434"/>
      <c r="TUG1" s="434"/>
      <c r="TUH1" s="434"/>
      <c r="TUI1" s="434"/>
      <c r="TUJ1" s="434"/>
      <c r="TUK1" s="434"/>
      <c r="TUL1" s="434"/>
      <c r="TUM1" s="434"/>
      <c r="TUN1" s="434"/>
      <c r="TUO1" s="434"/>
      <c r="TUP1" s="434"/>
      <c r="TUQ1" s="434"/>
      <c r="TUR1" s="434"/>
      <c r="TUS1" s="434"/>
      <c r="TUT1" s="434"/>
      <c r="TUU1" s="434"/>
      <c r="TUV1" s="434"/>
      <c r="TUW1" s="434"/>
      <c r="TUX1" s="434"/>
      <c r="TUY1" s="434"/>
      <c r="TUZ1" s="434"/>
      <c r="TVA1" s="434"/>
      <c r="TVB1" s="434"/>
      <c r="TVC1" s="434"/>
      <c r="TVD1" s="434"/>
      <c r="TVE1" s="434"/>
      <c r="TVF1" s="434"/>
      <c r="TVG1" s="434"/>
      <c r="TVH1" s="434"/>
      <c r="TVI1" s="434"/>
      <c r="TVJ1" s="434"/>
      <c r="TVK1" s="434"/>
      <c r="TVL1" s="434"/>
      <c r="TVM1" s="434"/>
      <c r="TVN1" s="434"/>
      <c r="TVO1" s="434"/>
      <c r="TVP1" s="434"/>
      <c r="TVQ1" s="434"/>
      <c r="TVR1" s="434"/>
      <c r="TVS1" s="434"/>
      <c r="TVT1" s="434"/>
      <c r="TVU1" s="434"/>
      <c r="TVV1" s="434"/>
      <c r="TVW1" s="434"/>
      <c r="TVX1" s="434"/>
      <c r="TVY1" s="434"/>
      <c r="TVZ1" s="434"/>
      <c r="TWA1" s="434"/>
      <c r="TWB1" s="434"/>
      <c r="TWC1" s="434"/>
      <c r="TWD1" s="434"/>
      <c r="TWE1" s="434"/>
      <c r="TWF1" s="434"/>
      <c r="TWG1" s="434"/>
      <c r="TWH1" s="434"/>
      <c r="TWI1" s="434"/>
      <c r="TWJ1" s="434"/>
      <c r="TWK1" s="434"/>
      <c r="TWL1" s="434"/>
      <c r="TWM1" s="434"/>
      <c r="TWN1" s="434"/>
      <c r="TWO1" s="434"/>
      <c r="TWP1" s="434"/>
      <c r="TWQ1" s="434"/>
      <c r="TWR1" s="434"/>
      <c r="TWS1" s="434"/>
      <c r="TWT1" s="434"/>
      <c r="TWU1" s="434"/>
      <c r="TWV1" s="434"/>
      <c r="TWW1" s="434"/>
      <c r="TWX1" s="434"/>
      <c r="TWY1" s="434"/>
      <c r="TWZ1" s="434"/>
      <c r="TXA1" s="434"/>
      <c r="TXB1" s="434"/>
      <c r="TXC1" s="434"/>
      <c r="TXD1" s="434"/>
      <c r="TXE1" s="434"/>
      <c r="TXF1" s="434"/>
      <c r="TXG1" s="434"/>
      <c r="TXH1" s="434"/>
      <c r="TXI1" s="434"/>
      <c r="TXJ1" s="434"/>
      <c r="TXK1" s="434"/>
      <c r="TXL1" s="434"/>
      <c r="TXM1" s="434"/>
      <c r="TXN1" s="434"/>
      <c r="TXO1" s="434"/>
      <c r="TXP1" s="434"/>
      <c r="TXQ1" s="434"/>
      <c r="TXR1" s="434"/>
      <c r="TXS1" s="434"/>
      <c r="TXT1" s="434"/>
      <c r="TXU1" s="434"/>
      <c r="TXV1" s="434"/>
      <c r="TXW1" s="434"/>
      <c r="TXX1" s="434"/>
      <c r="TXY1" s="434"/>
      <c r="TXZ1" s="434"/>
      <c r="TYA1" s="434"/>
      <c r="TYB1" s="434"/>
      <c r="TYC1" s="434"/>
      <c r="TYD1" s="434"/>
      <c r="TYE1" s="434"/>
      <c r="TYF1" s="434"/>
      <c r="TYG1" s="434"/>
      <c r="TYH1" s="434"/>
      <c r="TYI1" s="434"/>
      <c r="TYJ1" s="434"/>
      <c r="TYK1" s="434"/>
      <c r="TYL1" s="434"/>
      <c r="TYM1" s="434"/>
      <c r="TYN1" s="434"/>
      <c r="TYO1" s="434"/>
      <c r="TYP1" s="434"/>
      <c r="TYQ1" s="434"/>
      <c r="TYR1" s="434"/>
      <c r="TYS1" s="434"/>
      <c r="TYT1" s="434"/>
      <c r="TYU1" s="434"/>
      <c r="TYV1" s="434"/>
      <c r="TYW1" s="434"/>
      <c r="TYX1" s="434"/>
      <c r="TYY1" s="434"/>
      <c r="TYZ1" s="434"/>
      <c r="TZA1" s="434"/>
      <c r="TZB1" s="434"/>
      <c r="TZC1" s="434"/>
      <c r="TZD1" s="434"/>
      <c r="TZE1" s="434"/>
      <c r="TZF1" s="434"/>
      <c r="TZG1" s="434"/>
      <c r="TZH1" s="434"/>
      <c r="TZI1" s="434"/>
      <c r="TZJ1" s="434"/>
      <c r="TZK1" s="434"/>
      <c r="TZL1" s="434"/>
      <c r="TZM1" s="434"/>
      <c r="TZN1" s="434"/>
      <c r="TZO1" s="434"/>
      <c r="TZP1" s="434"/>
      <c r="TZQ1" s="434"/>
      <c r="TZR1" s="434"/>
      <c r="TZS1" s="434"/>
      <c r="TZT1" s="434"/>
      <c r="TZU1" s="434"/>
      <c r="TZV1" s="434"/>
      <c r="TZW1" s="434"/>
      <c r="TZX1" s="434"/>
      <c r="TZY1" s="434"/>
      <c r="TZZ1" s="434"/>
      <c r="UAA1" s="434"/>
      <c r="UAB1" s="434"/>
      <c r="UAC1" s="434"/>
      <c r="UAD1" s="434"/>
      <c r="UAE1" s="434"/>
      <c r="UAF1" s="434"/>
      <c r="UAG1" s="434"/>
      <c r="UAH1" s="434"/>
      <c r="UAI1" s="434"/>
      <c r="UAJ1" s="434"/>
      <c r="UAK1" s="434"/>
      <c r="UAL1" s="434"/>
      <c r="UAM1" s="434"/>
      <c r="UAN1" s="434"/>
      <c r="UAO1" s="434"/>
      <c r="UAP1" s="434"/>
      <c r="UAQ1" s="434"/>
      <c r="UAR1" s="434"/>
      <c r="UAS1" s="434"/>
      <c r="UAT1" s="434"/>
      <c r="UAU1" s="434"/>
      <c r="UAV1" s="434"/>
      <c r="UAW1" s="434"/>
      <c r="UAX1" s="434"/>
      <c r="UAY1" s="434"/>
      <c r="UAZ1" s="434"/>
      <c r="UBA1" s="434"/>
      <c r="UBB1" s="434"/>
      <c r="UBC1" s="434"/>
      <c r="UBD1" s="434"/>
      <c r="UBE1" s="434"/>
      <c r="UBF1" s="434"/>
      <c r="UBG1" s="434"/>
      <c r="UBH1" s="434"/>
      <c r="UBI1" s="434"/>
      <c r="UBJ1" s="434"/>
      <c r="UBK1" s="434"/>
      <c r="UBL1" s="434"/>
      <c r="UBM1" s="434"/>
      <c r="UBN1" s="434"/>
      <c r="UBO1" s="434"/>
      <c r="UBP1" s="434"/>
      <c r="UBQ1" s="434"/>
      <c r="UBR1" s="434"/>
      <c r="UBS1" s="434"/>
      <c r="UBT1" s="434"/>
      <c r="UBU1" s="434"/>
      <c r="UBV1" s="434"/>
      <c r="UBW1" s="434"/>
      <c r="UBX1" s="434"/>
      <c r="UBY1" s="434"/>
      <c r="UBZ1" s="434"/>
      <c r="UCA1" s="434"/>
      <c r="UCB1" s="434"/>
      <c r="UCC1" s="434"/>
      <c r="UCD1" s="434"/>
      <c r="UCE1" s="434"/>
      <c r="UCF1" s="434"/>
      <c r="UCG1" s="434"/>
      <c r="UCH1" s="434"/>
      <c r="UCI1" s="434"/>
      <c r="UCJ1" s="434"/>
      <c r="UCK1" s="434"/>
      <c r="UCL1" s="434"/>
      <c r="UCM1" s="434"/>
      <c r="UCN1" s="434"/>
      <c r="UCO1" s="434"/>
      <c r="UCP1" s="434"/>
      <c r="UCQ1" s="434"/>
      <c r="UCR1" s="434"/>
      <c r="UCS1" s="434"/>
      <c r="UCT1" s="434"/>
      <c r="UCU1" s="434"/>
      <c r="UCV1" s="434"/>
      <c r="UCW1" s="434"/>
      <c r="UCX1" s="434"/>
      <c r="UCY1" s="434"/>
      <c r="UCZ1" s="434"/>
      <c r="UDA1" s="434"/>
      <c r="UDB1" s="434"/>
      <c r="UDC1" s="434"/>
      <c r="UDD1" s="434"/>
      <c r="UDE1" s="434"/>
      <c r="UDF1" s="434"/>
      <c r="UDG1" s="434"/>
      <c r="UDH1" s="434"/>
      <c r="UDI1" s="434"/>
      <c r="UDJ1" s="434"/>
      <c r="UDK1" s="434"/>
      <c r="UDL1" s="434"/>
      <c r="UDM1" s="434"/>
      <c r="UDN1" s="434"/>
      <c r="UDO1" s="434"/>
      <c r="UDP1" s="434"/>
      <c r="UDQ1" s="434"/>
      <c r="UDR1" s="434"/>
      <c r="UDS1" s="434"/>
      <c r="UDT1" s="434"/>
      <c r="UDU1" s="434"/>
      <c r="UDV1" s="434"/>
      <c r="UDW1" s="434"/>
      <c r="UDX1" s="434"/>
      <c r="UDY1" s="434"/>
      <c r="UDZ1" s="434"/>
      <c r="UEA1" s="434"/>
      <c r="UEB1" s="434"/>
      <c r="UEC1" s="434"/>
      <c r="UED1" s="434"/>
      <c r="UEE1" s="434"/>
      <c r="UEF1" s="434"/>
      <c r="UEG1" s="434"/>
      <c r="UEH1" s="434"/>
      <c r="UEI1" s="434"/>
      <c r="UEJ1" s="434"/>
      <c r="UEK1" s="434"/>
      <c r="UEL1" s="434"/>
      <c r="UEM1" s="434"/>
      <c r="UEN1" s="434"/>
      <c r="UEO1" s="434"/>
      <c r="UEP1" s="434"/>
      <c r="UEQ1" s="434"/>
      <c r="UER1" s="434"/>
      <c r="UES1" s="434"/>
      <c r="UET1" s="434"/>
      <c r="UEU1" s="434"/>
      <c r="UEV1" s="434"/>
      <c r="UEW1" s="434"/>
      <c r="UEX1" s="434"/>
      <c r="UEY1" s="434"/>
      <c r="UEZ1" s="434"/>
      <c r="UFA1" s="434"/>
      <c r="UFB1" s="434"/>
      <c r="UFC1" s="434"/>
      <c r="UFD1" s="434"/>
      <c r="UFE1" s="434"/>
      <c r="UFF1" s="434"/>
      <c r="UFG1" s="434"/>
      <c r="UFH1" s="434"/>
      <c r="UFI1" s="434"/>
      <c r="UFJ1" s="434"/>
      <c r="UFK1" s="434"/>
      <c r="UFL1" s="434"/>
      <c r="UFM1" s="434"/>
      <c r="UFN1" s="434"/>
      <c r="UFO1" s="434"/>
      <c r="UFP1" s="434"/>
      <c r="UFQ1" s="434"/>
      <c r="UFR1" s="434"/>
      <c r="UFS1" s="434"/>
      <c r="UFT1" s="434"/>
      <c r="UFU1" s="434"/>
      <c r="UFV1" s="434"/>
      <c r="UFW1" s="434"/>
      <c r="UFX1" s="434"/>
      <c r="UFY1" s="434"/>
      <c r="UFZ1" s="434"/>
      <c r="UGA1" s="434"/>
      <c r="UGB1" s="434"/>
      <c r="UGC1" s="434"/>
      <c r="UGD1" s="434"/>
      <c r="UGE1" s="434"/>
      <c r="UGF1" s="434"/>
      <c r="UGG1" s="434"/>
      <c r="UGH1" s="434"/>
      <c r="UGI1" s="434"/>
      <c r="UGJ1" s="434"/>
      <c r="UGK1" s="434"/>
      <c r="UGL1" s="434"/>
      <c r="UGM1" s="434"/>
      <c r="UGN1" s="434"/>
      <c r="UGO1" s="434"/>
      <c r="UGP1" s="434"/>
      <c r="UGQ1" s="434"/>
      <c r="UGR1" s="434"/>
      <c r="UGS1" s="434"/>
      <c r="UGT1" s="434"/>
      <c r="UGU1" s="434"/>
      <c r="UGV1" s="434"/>
      <c r="UGW1" s="434"/>
      <c r="UGX1" s="434"/>
      <c r="UGY1" s="434"/>
      <c r="UGZ1" s="434"/>
      <c r="UHA1" s="434"/>
      <c r="UHB1" s="434"/>
      <c r="UHC1" s="434"/>
      <c r="UHD1" s="434"/>
      <c r="UHE1" s="434"/>
      <c r="UHF1" s="434"/>
      <c r="UHG1" s="434"/>
      <c r="UHH1" s="434"/>
      <c r="UHI1" s="434"/>
      <c r="UHJ1" s="434"/>
      <c r="UHK1" s="434"/>
      <c r="UHL1" s="434"/>
      <c r="UHM1" s="434"/>
      <c r="UHN1" s="434"/>
      <c r="UHO1" s="434"/>
      <c r="UHP1" s="434"/>
      <c r="UHQ1" s="434"/>
      <c r="UHR1" s="434"/>
      <c r="UHS1" s="434"/>
      <c r="UHT1" s="434"/>
      <c r="UHU1" s="434"/>
      <c r="UHV1" s="434"/>
      <c r="UHW1" s="434"/>
      <c r="UHX1" s="434"/>
      <c r="UHY1" s="434"/>
      <c r="UHZ1" s="434"/>
      <c r="UIA1" s="434"/>
      <c r="UIB1" s="434"/>
      <c r="UIC1" s="434"/>
      <c r="UID1" s="434"/>
      <c r="UIE1" s="434"/>
      <c r="UIF1" s="434"/>
      <c r="UIG1" s="434"/>
      <c r="UIH1" s="434"/>
      <c r="UII1" s="434"/>
      <c r="UIJ1" s="434"/>
      <c r="UIK1" s="434"/>
      <c r="UIL1" s="434"/>
      <c r="UIM1" s="434"/>
      <c r="UIN1" s="434"/>
      <c r="UIO1" s="434"/>
      <c r="UIP1" s="434"/>
      <c r="UIQ1" s="434"/>
      <c r="UIR1" s="434"/>
      <c r="UIS1" s="434"/>
      <c r="UIT1" s="434"/>
      <c r="UIU1" s="434"/>
      <c r="UIV1" s="434"/>
      <c r="UIW1" s="434"/>
      <c r="UIX1" s="434"/>
      <c r="UIY1" s="434"/>
      <c r="UIZ1" s="434"/>
      <c r="UJA1" s="434"/>
      <c r="UJB1" s="434"/>
      <c r="UJC1" s="434"/>
      <c r="UJD1" s="434"/>
      <c r="UJE1" s="434"/>
      <c r="UJF1" s="434"/>
      <c r="UJG1" s="434"/>
      <c r="UJH1" s="434"/>
      <c r="UJI1" s="434"/>
      <c r="UJJ1" s="434"/>
      <c r="UJK1" s="434"/>
      <c r="UJL1" s="434"/>
      <c r="UJM1" s="434"/>
      <c r="UJN1" s="434"/>
      <c r="UJO1" s="434"/>
      <c r="UJP1" s="434"/>
      <c r="UJQ1" s="434"/>
      <c r="UJR1" s="434"/>
      <c r="UJS1" s="434"/>
      <c r="UJT1" s="434"/>
      <c r="UJU1" s="434"/>
      <c r="UJV1" s="434"/>
      <c r="UJW1" s="434"/>
      <c r="UJX1" s="434"/>
      <c r="UJY1" s="434"/>
      <c r="UJZ1" s="434"/>
      <c r="UKA1" s="434"/>
      <c r="UKB1" s="434"/>
      <c r="UKC1" s="434"/>
      <c r="UKD1" s="434"/>
      <c r="UKE1" s="434"/>
      <c r="UKF1" s="434"/>
      <c r="UKG1" s="434"/>
      <c r="UKH1" s="434"/>
      <c r="UKI1" s="434"/>
      <c r="UKJ1" s="434"/>
      <c r="UKK1" s="434"/>
      <c r="UKL1" s="434"/>
      <c r="UKM1" s="434"/>
      <c r="UKN1" s="434"/>
      <c r="UKO1" s="434"/>
      <c r="UKP1" s="434"/>
      <c r="UKQ1" s="434"/>
      <c r="UKR1" s="434"/>
      <c r="UKS1" s="434"/>
      <c r="UKT1" s="434"/>
      <c r="UKU1" s="434"/>
      <c r="UKV1" s="434"/>
      <c r="UKW1" s="434"/>
      <c r="UKX1" s="434"/>
      <c r="UKY1" s="434"/>
      <c r="UKZ1" s="434"/>
      <c r="ULA1" s="434"/>
      <c r="ULB1" s="434"/>
      <c r="ULC1" s="434"/>
      <c r="ULD1" s="434"/>
      <c r="ULE1" s="434"/>
      <c r="ULF1" s="434"/>
      <c r="ULG1" s="434"/>
      <c r="ULH1" s="434"/>
      <c r="ULI1" s="434"/>
      <c r="ULJ1" s="434"/>
      <c r="ULK1" s="434"/>
      <c r="ULL1" s="434"/>
      <c r="ULM1" s="434"/>
      <c r="ULN1" s="434"/>
      <c r="ULO1" s="434"/>
      <c r="ULP1" s="434"/>
      <c r="ULQ1" s="434"/>
      <c r="ULR1" s="434"/>
      <c r="ULS1" s="434"/>
      <c r="ULT1" s="434"/>
      <c r="ULU1" s="434"/>
      <c r="ULV1" s="434"/>
      <c r="ULW1" s="434"/>
      <c r="ULX1" s="434"/>
      <c r="ULY1" s="434"/>
      <c r="ULZ1" s="434"/>
      <c r="UMA1" s="434"/>
      <c r="UMB1" s="434"/>
      <c r="UMC1" s="434"/>
      <c r="UMD1" s="434"/>
      <c r="UME1" s="434"/>
      <c r="UMF1" s="434"/>
      <c r="UMG1" s="434"/>
      <c r="UMH1" s="434"/>
      <c r="UMI1" s="434"/>
      <c r="UMJ1" s="434"/>
      <c r="UMK1" s="434"/>
      <c r="UML1" s="434"/>
      <c r="UMM1" s="434"/>
      <c r="UMN1" s="434"/>
      <c r="UMO1" s="434"/>
      <c r="UMP1" s="434"/>
      <c r="UMQ1" s="434"/>
      <c r="UMR1" s="434"/>
      <c r="UMS1" s="434"/>
      <c r="UMT1" s="434"/>
      <c r="UMU1" s="434"/>
      <c r="UMV1" s="434"/>
      <c r="UMW1" s="434"/>
      <c r="UMX1" s="434"/>
      <c r="UMY1" s="434"/>
      <c r="UMZ1" s="434"/>
      <c r="UNA1" s="434"/>
      <c r="UNB1" s="434"/>
      <c r="UNC1" s="434"/>
      <c r="UND1" s="434"/>
      <c r="UNE1" s="434"/>
      <c r="UNF1" s="434"/>
      <c r="UNG1" s="434"/>
      <c r="UNH1" s="434"/>
      <c r="UNI1" s="434"/>
      <c r="UNJ1" s="434"/>
      <c r="UNK1" s="434"/>
      <c r="UNL1" s="434"/>
      <c r="UNM1" s="434"/>
      <c r="UNN1" s="434"/>
      <c r="UNO1" s="434"/>
      <c r="UNP1" s="434"/>
      <c r="UNQ1" s="434"/>
      <c r="UNR1" s="434"/>
      <c r="UNS1" s="434"/>
      <c r="UNT1" s="434"/>
      <c r="UNU1" s="434"/>
      <c r="UNV1" s="434"/>
      <c r="UNW1" s="434"/>
      <c r="UNX1" s="434"/>
      <c r="UNY1" s="434"/>
      <c r="UNZ1" s="434"/>
      <c r="UOA1" s="434"/>
      <c r="UOB1" s="434"/>
      <c r="UOC1" s="434"/>
      <c r="UOD1" s="434"/>
      <c r="UOE1" s="434"/>
      <c r="UOF1" s="434"/>
      <c r="UOG1" s="434"/>
      <c r="UOH1" s="434"/>
      <c r="UOI1" s="434"/>
      <c r="UOJ1" s="434"/>
      <c r="UOK1" s="434"/>
      <c r="UOL1" s="434"/>
      <c r="UOM1" s="434"/>
      <c r="UON1" s="434"/>
      <c r="UOO1" s="434"/>
      <c r="UOP1" s="434"/>
      <c r="UOQ1" s="434"/>
      <c r="UOR1" s="434"/>
      <c r="UOS1" s="434"/>
      <c r="UOT1" s="434"/>
      <c r="UOU1" s="434"/>
      <c r="UOV1" s="434"/>
      <c r="UOW1" s="434"/>
      <c r="UOX1" s="434"/>
      <c r="UOY1" s="434"/>
      <c r="UOZ1" s="434"/>
      <c r="UPA1" s="434"/>
      <c r="UPB1" s="434"/>
      <c r="UPC1" s="434"/>
      <c r="UPD1" s="434"/>
      <c r="UPE1" s="434"/>
      <c r="UPF1" s="434"/>
      <c r="UPG1" s="434"/>
      <c r="UPH1" s="434"/>
      <c r="UPI1" s="434"/>
      <c r="UPJ1" s="434"/>
      <c r="UPK1" s="434"/>
      <c r="UPL1" s="434"/>
      <c r="UPM1" s="434"/>
      <c r="UPN1" s="434"/>
      <c r="UPO1" s="434"/>
      <c r="UPP1" s="434"/>
      <c r="UPQ1" s="434"/>
      <c r="UPR1" s="434"/>
      <c r="UPS1" s="434"/>
      <c r="UPT1" s="434"/>
      <c r="UPU1" s="434"/>
      <c r="UPV1" s="434"/>
      <c r="UPW1" s="434"/>
      <c r="UPX1" s="434"/>
      <c r="UPY1" s="434"/>
      <c r="UPZ1" s="434"/>
      <c r="UQA1" s="434"/>
      <c r="UQB1" s="434"/>
      <c r="UQC1" s="434"/>
      <c r="UQD1" s="434"/>
      <c r="UQE1" s="434"/>
      <c r="UQF1" s="434"/>
      <c r="UQG1" s="434"/>
      <c r="UQH1" s="434"/>
      <c r="UQI1" s="434"/>
      <c r="UQJ1" s="434"/>
      <c r="UQK1" s="434"/>
      <c r="UQL1" s="434"/>
      <c r="UQM1" s="434"/>
      <c r="UQN1" s="434"/>
      <c r="UQO1" s="434"/>
      <c r="UQP1" s="434"/>
      <c r="UQQ1" s="434"/>
      <c r="UQR1" s="434"/>
      <c r="UQS1" s="434"/>
      <c r="UQT1" s="434"/>
      <c r="UQU1" s="434"/>
      <c r="UQV1" s="434"/>
      <c r="UQW1" s="434"/>
      <c r="UQX1" s="434"/>
      <c r="UQY1" s="434"/>
      <c r="UQZ1" s="434"/>
      <c r="URA1" s="434"/>
      <c r="URB1" s="434"/>
      <c r="URC1" s="434"/>
      <c r="URD1" s="434"/>
      <c r="URE1" s="434"/>
      <c r="URF1" s="434"/>
      <c r="URG1" s="434"/>
      <c r="URH1" s="434"/>
      <c r="URI1" s="434"/>
      <c r="URJ1" s="434"/>
      <c r="URK1" s="434"/>
      <c r="URL1" s="434"/>
      <c r="URM1" s="434"/>
      <c r="URN1" s="434"/>
      <c r="URO1" s="434"/>
      <c r="URP1" s="434"/>
      <c r="URQ1" s="434"/>
      <c r="URR1" s="434"/>
      <c r="URS1" s="434"/>
      <c r="URT1" s="434"/>
      <c r="URU1" s="434"/>
      <c r="URV1" s="434"/>
      <c r="URW1" s="434"/>
      <c r="URX1" s="434"/>
      <c r="URY1" s="434"/>
      <c r="URZ1" s="434"/>
      <c r="USA1" s="434"/>
      <c r="USB1" s="434"/>
      <c r="USC1" s="434"/>
      <c r="USD1" s="434"/>
      <c r="USE1" s="434"/>
      <c r="USF1" s="434"/>
      <c r="USG1" s="434"/>
      <c r="USH1" s="434"/>
      <c r="USI1" s="434"/>
      <c r="USJ1" s="434"/>
      <c r="USK1" s="434"/>
      <c r="USL1" s="434"/>
      <c r="USM1" s="434"/>
      <c r="USN1" s="434"/>
      <c r="USO1" s="434"/>
      <c r="USP1" s="434"/>
      <c r="USQ1" s="434"/>
      <c r="USR1" s="434"/>
      <c r="USS1" s="434"/>
      <c r="UST1" s="434"/>
      <c r="USU1" s="434"/>
      <c r="USV1" s="434"/>
      <c r="USW1" s="434"/>
      <c r="USX1" s="434"/>
      <c r="USY1" s="434"/>
      <c r="USZ1" s="434"/>
      <c r="UTA1" s="434"/>
      <c r="UTB1" s="434"/>
      <c r="UTC1" s="434"/>
      <c r="UTD1" s="434"/>
      <c r="UTE1" s="434"/>
      <c r="UTF1" s="434"/>
      <c r="UTG1" s="434"/>
      <c r="UTH1" s="434"/>
      <c r="UTI1" s="434"/>
      <c r="UTJ1" s="434"/>
      <c r="UTK1" s="434"/>
      <c r="UTL1" s="434"/>
      <c r="UTM1" s="434"/>
      <c r="UTN1" s="434"/>
      <c r="UTO1" s="434"/>
      <c r="UTP1" s="434"/>
      <c r="UTQ1" s="434"/>
      <c r="UTR1" s="434"/>
      <c r="UTS1" s="434"/>
      <c r="UTT1" s="434"/>
      <c r="UTU1" s="434"/>
      <c r="UTV1" s="434"/>
      <c r="UTW1" s="434"/>
      <c r="UTX1" s="434"/>
      <c r="UTY1" s="434"/>
      <c r="UTZ1" s="434"/>
      <c r="UUA1" s="434"/>
      <c r="UUB1" s="434"/>
      <c r="UUC1" s="434"/>
      <c r="UUD1" s="434"/>
      <c r="UUE1" s="434"/>
      <c r="UUF1" s="434"/>
      <c r="UUG1" s="434"/>
      <c r="UUH1" s="434"/>
      <c r="UUI1" s="434"/>
      <c r="UUJ1" s="434"/>
      <c r="UUK1" s="434"/>
      <c r="UUL1" s="434"/>
      <c r="UUM1" s="434"/>
      <c r="UUN1" s="434"/>
      <c r="UUO1" s="434"/>
      <c r="UUP1" s="434"/>
      <c r="UUQ1" s="434"/>
      <c r="UUR1" s="434"/>
      <c r="UUS1" s="434"/>
      <c r="UUT1" s="434"/>
      <c r="UUU1" s="434"/>
      <c r="UUV1" s="434"/>
      <c r="UUW1" s="434"/>
      <c r="UUX1" s="434"/>
      <c r="UUY1" s="434"/>
      <c r="UUZ1" s="434"/>
      <c r="UVA1" s="434"/>
      <c r="UVB1" s="434"/>
      <c r="UVC1" s="434"/>
      <c r="UVD1" s="434"/>
      <c r="UVE1" s="434"/>
      <c r="UVF1" s="434"/>
      <c r="UVG1" s="434"/>
      <c r="UVH1" s="434"/>
      <c r="UVI1" s="434"/>
      <c r="UVJ1" s="434"/>
      <c r="UVK1" s="434"/>
      <c r="UVL1" s="434"/>
      <c r="UVM1" s="434"/>
      <c r="UVN1" s="434"/>
      <c r="UVO1" s="434"/>
      <c r="UVP1" s="434"/>
      <c r="UVQ1" s="434"/>
      <c r="UVR1" s="434"/>
      <c r="UVS1" s="434"/>
      <c r="UVT1" s="434"/>
      <c r="UVU1" s="434"/>
      <c r="UVV1" s="434"/>
      <c r="UVW1" s="434"/>
      <c r="UVX1" s="434"/>
      <c r="UVY1" s="434"/>
      <c r="UVZ1" s="434"/>
      <c r="UWA1" s="434"/>
      <c r="UWB1" s="434"/>
      <c r="UWC1" s="434"/>
      <c r="UWD1" s="434"/>
      <c r="UWE1" s="434"/>
      <c r="UWF1" s="434"/>
      <c r="UWG1" s="434"/>
      <c r="UWH1" s="434"/>
      <c r="UWI1" s="434"/>
      <c r="UWJ1" s="434"/>
      <c r="UWK1" s="434"/>
      <c r="UWL1" s="434"/>
      <c r="UWM1" s="434"/>
      <c r="UWN1" s="434"/>
      <c r="UWO1" s="434"/>
      <c r="UWP1" s="434"/>
      <c r="UWQ1" s="434"/>
      <c r="UWR1" s="434"/>
      <c r="UWS1" s="434"/>
      <c r="UWT1" s="434"/>
      <c r="UWU1" s="434"/>
      <c r="UWV1" s="434"/>
      <c r="UWW1" s="434"/>
      <c r="UWX1" s="434"/>
      <c r="UWY1" s="434"/>
      <c r="UWZ1" s="434"/>
      <c r="UXA1" s="434"/>
      <c r="UXB1" s="434"/>
      <c r="UXC1" s="434"/>
      <c r="UXD1" s="434"/>
      <c r="UXE1" s="434"/>
      <c r="UXF1" s="434"/>
      <c r="UXG1" s="434"/>
      <c r="UXH1" s="434"/>
      <c r="UXI1" s="434"/>
      <c r="UXJ1" s="434"/>
      <c r="UXK1" s="434"/>
      <c r="UXL1" s="434"/>
      <c r="UXM1" s="434"/>
      <c r="UXN1" s="434"/>
      <c r="UXO1" s="434"/>
      <c r="UXP1" s="434"/>
      <c r="UXQ1" s="434"/>
      <c r="UXR1" s="434"/>
      <c r="UXS1" s="434"/>
      <c r="UXT1" s="434"/>
      <c r="UXU1" s="434"/>
      <c r="UXV1" s="434"/>
      <c r="UXW1" s="434"/>
      <c r="UXX1" s="434"/>
      <c r="UXY1" s="434"/>
      <c r="UXZ1" s="434"/>
      <c r="UYA1" s="434"/>
      <c r="UYB1" s="434"/>
      <c r="UYC1" s="434"/>
      <c r="UYD1" s="434"/>
      <c r="UYE1" s="434"/>
      <c r="UYF1" s="434"/>
      <c r="UYG1" s="434"/>
      <c r="UYH1" s="434"/>
      <c r="UYI1" s="434"/>
      <c r="UYJ1" s="434"/>
      <c r="UYK1" s="434"/>
      <c r="UYL1" s="434"/>
      <c r="UYM1" s="434"/>
      <c r="UYN1" s="434"/>
      <c r="UYO1" s="434"/>
      <c r="UYP1" s="434"/>
      <c r="UYQ1" s="434"/>
      <c r="UYR1" s="434"/>
      <c r="UYS1" s="434"/>
      <c r="UYT1" s="434"/>
      <c r="UYU1" s="434"/>
      <c r="UYV1" s="434"/>
      <c r="UYW1" s="434"/>
      <c r="UYX1" s="434"/>
      <c r="UYY1" s="434"/>
      <c r="UYZ1" s="434"/>
      <c r="UZA1" s="434"/>
      <c r="UZB1" s="434"/>
      <c r="UZC1" s="434"/>
      <c r="UZD1" s="434"/>
      <c r="UZE1" s="434"/>
      <c r="UZF1" s="434"/>
      <c r="UZG1" s="434"/>
      <c r="UZH1" s="434"/>
      <c r="UZI1" s="434"/>
      <c r="UZJ1" s="434"/>
      <c r="UZK1" s="434"/>
      <c r="UZL1" s="434"/>
      <c r="UZM1" s="434"/>
      <c r="UZN1" s="434"/>
      <c r="UZO1" s="434"/>
      <c r="UZP1" s="434"/>
      <c r="UZQ1" s="434"/>
      <c r="UZR1" s="434"/>
      <c r="UZS1" s="434"/>
      <c r="UZT1" s="434"/>
      <c r="UZU1" s="434"/>
      <c r="UZV1" s="434"/>
      <c r="UZW1" s="434"/>
      <c r="UZX1" s="434"/>
      <c r="UZY1" s="434"/>
      <c r="UZZ1" s="434"/>
      <c r="VAA1" s="434"/>
      <c r="VAB1" s="434"/>
      <c r="VAC1" s="434"/>
      <c r="VAD1" s="434"/>
      <c r="VAE1" s="434"/>
      <c r="VAF1" s="434"/>
      <c r="VAG1" s="434"/>
      <c r="VAH1" s="434"/>
      <c r="VAI1" s="434"/>
      <c r="VAJ1" s="434"/>
      <c r="VAK1" s="434"/>
      <c r="VAL1" s="434"/>
      <c r="VAM1" s="434"/>
      <c r="VAN1" s="434"/>
      <c r="VAO1" s="434"/>
      <c r="VAP1" s="434"/>
      <c r="VAQ1" s="434"/>
      <c r="VAR1" s="434"/>
      <c r="VAS1" s="434"/>
      <c r="VAT1" s="434"/>
      <c r="VAU1" s="434"/>
      <c r="VAV1" s="434"/>
      <c r="VAW1" s="434"/>
      <c r="VAX1" s="434"/>
      <c r="VAY1" s="434"/>
      <c r="VAZ1" s="434"/>
      <c r="VBA1" s="434"/>
      <c r="VBB1" s="434"/>
      <c r="VBC1" s="434"/>
      <c r="VBD1" s="434"/>
      <c r="VBE1" s="434"/>
      <c r="VBF1" s="434"/>
      <c r="VBG1" s="434"/>
      <c r="VBH1" s="434"/>
      <c r="VBI1" s="434"/>
      <c r="VBJ1" s="434"/>
      <c r="VBK1" s="434"/>
      <c r="VBL1" s="434"/>
      <c r="VBM1" s="434"/>
      <c r="VBN1" s="434"/>
      <c r="VBO1" s="434"/>
      <c r="VBP1" s="434"/>
      <c r="VBQ1" s="434"/>
      <c r="VBR1" s="434"/>
      <c r="VBS1" s="434"/>
      <c r="VBT1" s="434"/>
      <c r="VBU1" s="434"/>
      <c r="VBV1" s="434"/>
      <c r="VBW1" s="434"/>
      <c r="VBX1" s="434"/>
      <c r="VBY1" s="434"/>
      <c r="VBZ1" s="434"/>
      <c r="VCA1" s="434"/>
      <c r="VCB1" s="434"/>
      <c r="VCC1" s="434"/>
      <c r="VCD1" s="434"/>
      <c r="VCE1" s="434"/>
      <c r="VCF1" s="434"/>
      <c r="VCG1" s="434"/>
      <c r="VCH1" s="434"/>
      <c r="VCI1" s="434"/>
      <c r="VCJ1" s="434"/>
      <c r="VCK1" s="434"/>
      <c r="VCL1" s="434"/>
      <c r="VCM1" s="434"/>
      <c r="VCN1" s="434"/>
      <c r="VCO1" s="434"/>
      <c r="VCP1" s="434"/>
      <c r="VCQ1" s="434"/>
      <c r="VCR1" s="434"/>
      <c r="VCS1" s="434"/>
      <c r="VCT1" s="434"/>
      <c r="VCU1" s="434"/>
      <c r="VCV1" s="434"/>
      <c r="VCW1" s="434"/>
      <c r="VCX1" s="434"/>
      <c r="VCY1" s="434"/>
      <c r="VCZ1" s="434"/>
      <c r="VDA1" s="434"/>
      <c r="VDB1" s="434"/>
      <c r="VDC1" s="434"/>
      <c r="VDD1" s="434"/>
      <c r="VDE1" s="434"/>
      <c r="VDF1" s="434"/>
      <c r="VDG1" s="434"/>
      <c r="VDH1" s="434"/>
      <c r="VDI1" s="434"/>
      <c r="VDJ1" s="434"/>
      <c r="VDK1" s="434"/>
      <c r="VDL1" s="434"/>
      <c r="VDM1" s="434"/>
      <c r="VDN1" s="434"/>
      <c r="VDO1" s="434"/>
      <c r="VDP1" s="434"/>
      <c r="VDQ1" s="434"/>
      <c r="VDR1" s="434"/>
      <c r="VDS1" s="434"/>
      <c r="VDT1" s="434"/>
      <c r="VDU1" s="434"/>
      <c r="VDV1" s="434"/>
      <c r="VDW1" s="434"/>
      <c r="VDX1" s="434"/>
      <c r="VDY1" s="434"/>
      <c r="VDZ1" s="434"/>
      <c r="VEA1" s="434"/>
      <c r="VEB1" s="434"/>
      <c r="VEC1" s="434"/>
      <c r="VED1" s="434"/>
      <c r="VEE1" s="434"/>
      <c r="VEF1" s="434"/>
      <c r="VEG1" s="434"/>
      <c r="VEH1" s="434"/>
      <c r="VEI1" s="434"/>
      <c r="VEJ1" s="434"/>
      <c r="VEK1" s="434"/>
      <c r="VEL1" s="434"/>
      <c r="VEM1" s="434"/>
      <c r="VEN1" s="434"/>
      <c r="VEO1" s="434"/>
      <c r="VEP1" s="434"/>
      <c r="VEQ1" s="434"/>
      <c r="VER1" s="434"/>
      <c r="VES1" s="434"/>
      <c r="VET1" s="434"/>
      <c r="VEU1" s="434"/>
      <c r="VEV1" s="434"/>
      <c r="VEW1" s="434"/>
      <c r="VEX1" s="434"/>
      <c r="VEY1" s="434"/>
      <c r="VEZ1" s="434"/>
      <c r="VFA1" s="434"/>
      <c r="VFB1" s="434"/>
      <c r="VFC1" s="434"/>
      <c r="VFD1" s="434"/>
      <c r="VFE1" s="434"/>
      <c r="VFF1" s="434"/>
      <c r="VFG1" s="434"/>
      <c r="VFH1" s="434"/>
      <c r="VFI1" s="434"/>
      <c r="VFJ1" s="434"/>
      <c r="VFK1" s="434"/>
      <c r="VFL1" s="434"/>
      <c r="VFM1" s="434"/>
      <c r="VFN1" s="434"/>
      <c r="VFO1" s="434"/>
      <c r="VFP1" s="434"/>
      <c r="VFQ1" s="434"/>
      <c r="VFR1" s="434"/>
      <c r="VFS1" s="434"/>
      <c r="VFT1" s="434"/>
      <c r="VFU1" s="434"/>
      <c r="VFV1" s="434"/>
      <c r="VFW1" s="434"/>
      <c r="VFX1" s="434"/>
      <c r="VFY1" s="434"/>
      <c r="VFZ1" s="434"/>
      <c r="VGA1" s="434"/>
      <c r="VGB1" s="434"/>
      <c r="VGC1" s="434"/>
      <c r="VGD1" s="434"/>
      <c r="VGE1" s="434"/>
      <c r="VGF1" s="434"/>
      <c r="VGG1" s="434"/>
      <c r="VGH1" s="434"/>
      <c r="VGI1" s="434"/>
      <c r="VGJ1" s="434"/>
      <c r="VGK1" s="434"/>
      <c r="VGL1" s="434"/>
      <c r="VGM1" s="434"/>
      <c r="VGN1" s="434"/>
      <c r="VGO1" s="434"/>
      <c r="VGP1" s="434"/>
      <c r="VGQ1" s="434"/>
      <c r="VGR1" s="434"/>
      <c r="VGS1" s="434"/>
      <c r="VGT1" s="434"/>
      <c r="VGU1" s="434"/>
      <c r="VGV1" s="434"/>
      <c r="VGW1" s="434"/>
      <c r="VGX1" s="434"/>
      <c r="VGY1" s="434"/>
      <c r="VGZ1" s="434"/>
      <c r="VHA1" s="434"/>
      <c r="VHB1" s="434"/>
      <c r="VHC1" s="434"/>
      <c r="VHD1" s="434"/>
      <c r="VHE1" s="434"/>
      <c r="VHF1" s="434"/>
      <c r="VHG1" s="434"/>
      <c r="VHH1" s="434"/>
      <c r="VHI1" s="434"/>
      <c r="VHJ1" s="434"/>
      <c r="VHK1" s="434"/>
      <c r="VHL1" s="434"/>
      <c r="VHM1" s="434"/>
      <c r="VHN1" s="434"/>
      <c r="VHO1" s="434"/>
      <c r="VHP1" s="434"/>
      <c r="VHQ1" s="434"/>
      <c r="VHR1" s="434"/>
      <c r="VHS1" s="434"/>
      <c r="VHT1" s="434"/>
      <c r="VHU1" s="434"/>
      <c r="VHV1" s="434"/>
      <c r="VHW1" s="434"/>
      <c r="VHX1" s="434"/>
      <c r="VHY1" s="434"/>
      <c r="VHZ1" s="434"/>
      <c r="VIA1" s="434"/>
      <c r="VIB1" s="434"/>
      <c r="VIC1" s="434"/>
      <c r="VID1" s="434"/>
      <c r="VIE1" s="434"/>
      <c r="VIF1" s="434"/>
      <c r="VIG1" s="434"/>
      <c r="VIH1" s="434"/>
      <c r="VII1" s="434"/>
      <c r="VIJ1" s="434"/>
      <c r="VIK1" s="434"/>
      <c r="VIL1" s="434"/>
      <c r="VIM1" s="434"/>
      <c r="VIN1" s="434"/>
      <c r="VIO1" s="434"/>
      <c r="VIP1" s="434"/>
      <c r="VIQ1" s="434"/>
      <c r="VIR1" s="434"/>
      <c r="VIS1" s="434"/>
      <c r="VIT1" s="434"/>
      <c r="VIU1" s="434"/>
      <c r="VIV1" s="434"/>
      <c r="VIW1" s="434"/>
      <c r="VIX1" s="434"/>
      <c r="VIY1" s="434"/>
      <c r="VIZ1" s="434"/>
      <c r="VJA1" s="434"/>
      <c r="VJB1" s="434"/>
      <c r="VJC1" s="434"/>
      <c r="VJD1" s="434"/>
      <c r="VJE1" s="434"/>
      <c r="VJF1" s="434"/>
      <c r="VJG1" s="434"/>
      <c r="VJH1" s="434"/>
      <c r="VJI1" s="434"/>
      <c r="VJJ1" s="434"/>
      <c r="VJK1" s="434"/>
      <c r="VJL1" s="434"/>
      <c r="VJM1" s="434"/>
      <c r="VJN1" s="434"/>
      <c r="VJO1" s="434"/>
      <c r="VJP1" s="434"/>
      <c r="VJQ1" s="434"/>
      <c r="VJR1" s="434"/>
      <c r="VJS1" s="434"/>
      <c r="VJT1" s="434"/>
      <c r="VJU1" s="434"/>
      <c r="VJV1" s="434"/>
      <c r="VJW1" s="434"/>
      <c r="VJX1" s="434"/>
      <c r="VJY1" s="434"/>
      <c r="VJZ1" s="434"/>
      <c r="VKA1" s="434"/>
      <c r="VKB1" s="434"/>
      <c r="VKC1" s="434"/>
      <c r="VKD1" s="434"/>
      <c r="VKE1" s="434"/>
      <c r="VKF1" s="434"/>
      <c r="VKG1" s="434"/>
      <c r="VKH1" s="434"/>
      <c r="VKI1" s="434"/>
      <c r="VKJ1" s="434"/>
      <c r="VKK1" s="434"/>
      <c r="VKL1" s="434"/>
      <c r="VKM1" s="434"/>
      <c r="VKN1" s="434"/>
      <c r="VKO1" s="434"/>
      <c r="VKP1" s="434"/>
      <c r="VKQ1" s="434"/>
      <c r="VKR1" s="434"/>
      <c r="VKS1" s="434"/>
      <c r="VKT1" s="434"/>
      <c r="VKU1" s="434"/>
      <c r="VKV1" s="434"/>
      <c r="VKW1" s="434"/>
      <c r="VKX1" s="434"/>
      <c r="VKY1" s="434"/>
      <c r="VKZ1" s="434"/>
      <c r="VLA1" s="434"/>
      <c r="VLB1" s="434"/>
      <c r="VLC1" s="434"/>
      <c r="VLD1" s="434"/>
      <c r="VLE1" s="434"/>
      <c r="VLF1" s="434"/>
      <c r="VLG1" s="434"/>
      <c r="VLH1" s="434"/>
      <c r="VLI1" s="434"/>
      <c r="VLJ1" s="434"/>
      <c r="VLK1" s="434"/>
      <c r="VLL1" s="434"/>
      <c r="VLM1" s="434"/>
      <c r="VLN1" s="434"/>
      <c r="VLO1" s="434"/>
      <c r="VLP1" s="434"/>
      <c r="VLQ1" s="434"/>
      <c r="VLR1" s="434"/>
      <c r="VLS1" s="434"/>
      <c r="VLT1" s="434"/>
      <c r="VLU1" s="434"/>
      <c r="VLV1" s="434"/>
      <c r="VLW1" s="434"/>
      <c r="VLX1" s="434"/>
      <c r="VLY1" s="434"/>
      <c r="VLZ1" s="434"/>
      <c r="VMA1" s="434"/>
      <c r="VMB1" s="434"/>
      <c r="VMC1" s="434"/>
      <c r="VMD1" s="434"/>
      <c r="VME1" s="434"/>
      <c r="VMF1" s="434"/>
      <c r="VMG1" s="434"/>
      <c r="VMH1" s="434"/>
      <c r="VMI1" s="434"/>
      <c r="VMJ1" s="434"/>
      <c r="VMK1" s="434"/>
      <c r="VML1" s="434"/>
      <c r="VMM1" s="434"/>
      <c r="VMN1" s="434"/>
      <c r="VMO1" s="434"/>
      <c r="VMP1" s="434"/>
      <c r="VMQ1" s="434"/>
      <c r="VMR1" s="434"/>
      <c r="VMS1" s="434"/>
      <c r="VMT1" s="434"/>
      <c r="VMU1" s="434"/>
      <c r="VMV1" s="434"/>
      <c r="VMW1" s="434"/>
      <c r="VMX1" s="434"/>
      <c r="VMY1" s="434"/>
      <c r="VMZ1" s="434"/>
      <c r="VNA1" s="434"/>
      <c r="VNB1" s="434"/>
      <c r="VNC1" s="434"/>
      <c r="VND1" s="434"/>
      <c r="VNE1" s="434"/>
      <c r="VNF1" s="434"/>
      <c r="VNG1" s="434"/>
      <c r="VNH1" s="434"/>
      <c r="VNI1" s="434"/>
      <c r="VNJ1" s="434"/>
      <c r="VNK1" s="434"/>
      <c r="VNL1" s="434"/>
      <c r="VNM1" s="434"/>
      <c r="VNN1" s="434"/>
      <c r="VNO1" s="434"/>
      <c r="VNP1" s="434"/>
      <c r="VNQ1" s="434"/>
      <c r="VNR1" s="434"/>
      <c r="VNS1" s="434"/>
      <c r="VNT1" s="434"/>
      <c r="VNU1" s="434"/>
      <c r="VNV1" s="434"/>
      <c r="VNW1" s="434"/>
      <c r="VNX1" s="434"/>
      <c r="VNY1" s="434"/>
      <c r="VNZ1" s="434"/>
      <c r="VOA1" s="434"/>
      <c r="VOB1" s="434"/>
      <c r="VOC1" s="434"/>
      <c r="VOD1" s="434"/>
      <c r="VOE1" s="434"/>
      <c r="VOF1" s="434"/>
      <c r="VOG1" s="434"/>
      <c r="VOH1" s="434"/>
      <c r="VOI1" s="434"/>
      <c r="VOJ1" s="434"/>
      <c r="VOK1" s="434"/>
      <c r="VOL1" s="434"/>
      <c r="VOM1" s="434"/>
      <c r="VON1" s="434"/>
      <c r="VOO1" s="434"/>
      <c r="VOP1" s="434"/>
      <c r="VOQ1" s="434"/>
      <c r="VOR1" s="434"/>
      <c r="VOS1" s="434"/>
      <c r="VOT1" s="434"/>
      <c r="VOU1" s="434"/>
      <c r="VOV1" s="434"/>
      <c r="VOW1" s="434"/>
      <c r="VOX1" s="434"/>
      <c r="VOY1" s="434"/>
      <c r="VOZ1" s="434"/>
      <c r="VPA1" s="434"/>
      <c r="VPB1" s="434"/>
      <c r="VPC1" s="434"/>
      <c r="VPD1" s="434"/>
      <c r="VPE1" s="434"/>
      <c r="VPF1" s="434"/>
      <c r="VPG1" s="434"/>
      <c r="VPH1" s="434"/>
      <c r="VPI1" s="434"/>
      <c r="VPJ1" s="434"/>
      <c r="VPK1" s="434"/>
      <c r="VPL1" s="434"/>
      <c r="VPM1" s="434"/>
      <c r="VPN1" s="434"/>
      <c r="VPO1" s="434"/>
      <c r="VPP1" s="434"/>
      <c r="VPQ1" s="434"/>
      <c r="VPR1" s="434"/>
      <c r="VPS1" s="434"/>
      <c r="VPT1" s="434"/>
      <c r="VPU1" s="434"/>
      <c r="VPV1" s="434"/>
      <c r="VPW1" s="434"/>
      <c r="VPX1" s="434"/>
      <c r="VPY1" s="434"/>
      <c r="VPZ1" s="434"/>
      <c r="VQA1" s="434"/>
      <c r="VQB1" s="434"/>
      <c r="VQC1" s="434"/>
      <c r="VQD1" s="434"/>
      <c r="VQE1" s="434"/>
      <c r="VQF1" s="434"/>
      <c r="VQG1" s="434"/>
      <c r="VQH1" s="434"/>
      <c r="VQI1" s="434"/>
      <c r="VQJ1" s="434"/>
      <c r="VQK1" s="434"/>
      <c r="VQL1" s="434"/>
      <c r="VQM1" s="434"/>
      <c r="VQN1" s="434"/>
      <c r="VQO1" s="434"/>
      <c r="VQP1" s="434"/>
      <c r="VQQ1" s="434"/>
      <c r="VQR1" s="434"/>
      <c r="VQS1" s="434"/>
      <c r="VQT1" s="434"/>
      <c r="VQU1" s="434"/>
      <c r="VQV1" s="434"/>
      <c r="VQW1" s="434"/>
      <c r="VQX1" s="434"/>
      <c r="VQY1" s="434"/>
      <c r="VQZ1" s="434"/>
      <c r="VRA1" s="434"/>
      <c r="VRB1" s="434"/>
      <c r="VRC1" s="434"/>
      <c r="VRD1" s="434"/>
      <c r="VRE1" s="434"/>
      <c r="VRF1" s="434"/>
      <c r="VRG1" s="434"/>
      <c r="VRH1" s="434"/>
      <c r="VRI1" s="434"/>
      <c r="VRJ1" s="434"/>
      <c r="VRK1" s="434"/>
      <c r="VRL1" s="434"/>
      <c r="VRM1" s="434"/>
      <c r="VRN1" s="434"/>
      <c r="VRO1" s="434"/>
      <c r="VRP1" s="434"/>
      <c r="VRQ1" s="434"/>
      <c r="VRR1" s="434"/>
      <c r="VRS1" s="434"/>
      <c r="VRT1" s="434"/>
      <c r="VRU1" s="434"/>
      <c r="VRV1" s="434"/>
      <c r="VRW1" s="434"/>
      <c r="VRX1" s="434"/>
      <c r="VRY1" s="434"/>
      <c r="VRZ1" s="434"/>
      <c r="VSA1" s="434"/>
      <c r="VSB1" s="434"/>
      <c r="VSC1" s="434"/>
      <c r="VSD1" s="434"/>
      <c r="VSE1" s="434"/>
      <c r="VSF1" s="434"/>
      <c r="VSG1" s="434"/>
      <c r="VSH1" s="434"/>
      <c r="VSI1" s="434"/>
      <c r="VSJ1" s="434"/>
      <c r="VSK1" s="434"/>
      <c r="VSL1" s="434"/>
      <c r="VSM1" s="434"/>
      <c r="VSN1" s="434"/>
      <c r="VSO1" s="434"/>
      <c r="VSP1" s="434"/>
      <c r="VSQ1" s="434"/>
      <c r="VSR1" s="434"/>
      <c r="VSS1" s="434"/>
      <c r="VST1" s="434"/>
      <c r="VSU1" s="434"/>
      <c r="VSV1" s="434"/>
      <c r="VSW1" s="434"/>
      <c r="VSX1" s="434"/>
      <c r="VSY1" s="434"/>
      <c r="VSZ1" s="434"/>
      <c r="VTA1" s="434"/>
      <c r="VTB1" s="434"/>
      <c r="VTC1" s="434"/>
      <c r="VTD1" s="434"/>
      <c r="VTE1" s="434"/>
      <c r="VTF1" s="434"/>
      <c r="VTG1" s="434"/>
      <c r="VTH1" s="434"/>
      <c r="VTI1" s="434"/>
      <c r="VTJ1" s="434"/>
      <c r="VTK1" s="434"/>
      <c r="VTL1" s="434"/>
      <c r="VTM1" s="434"/>
      <c r="VTN1" s="434"/>
      <c r="VTO1" s="434"/>
      <c r="VTP1" s="434"/>
      <c r="VTQ1" s="434"/>
      <c r="VTR1" s="434"/>
      <c r="VTS1" s="434"/>
      <c r="VTT1" s="434"/>
      <c r="VTU1" s="434"/>
      <c r="VTV1" s="434"/>
      <c r="VTW1" s="434"/>
      <c r="VTX1" s="434"/>
      <c r="VTY1" s="434"/>
      <c r="VTZ1" s="434"/>
      <c r="VUA1" s="434"/>
      <c r="VUB1" s="434"/>
      <c r="VUC1" s="434"/>
      <c r="VUD1" s="434"/>
      <c r="VUE1" s="434"/>
      <c r="VUF1" s="434"/>
      <c r="VUG1" s="434"/>
      <c r="VUH1" s="434"/>
      <c r="VUI1" s="434"/>
      <c r="VUJ1" s="434"/>
      <c r="VUK1" s="434"/>
      <c r="VUL1" s="434"/>
      <c r="VUM1" s="434"/>
      <c r="VUN1" s="434"/>
      <c r="VUO1" s="434"/>
      <c r="VUP1" s="434"/>
      <c r="VUQ1" s="434"/>
      <c r="VUR1" s="434"/>
      <c r="VUS1" s="434"/>
      <c r="VUT1" s="434"/>
      <c r="VUU1" s="434"/>
      <c r="VUV1" s="434"/>
      <c r="VUW1" s="434"/>
      <c r="VUX1" s="434"/>
      <c r="VUY1" s="434"/>
      <c r="VUZ1" s="434"/>
      <c r="VVA1" s="434"/>
      <c r="VVB1" s="434"/>
      <c r="VVC1" s="434"/>
      <c r="VVD1" s="434"/>
      <c r="VVE1" s="434"/>
      <c r="VVF1" s="434"/>
      <c r="VVG1" s="434"/>
      <c r="VVH1" s="434"/>
      <c r="VVI1" s="434"/>
      <c r="VVJ1" s="434"/>
      <c r="VVK1" s="434"/>
      <c r="VVL1" s="434"/>
      <c r="VVM1" s="434"/>
      <c r="VVN1" s="434"/>
      <c r="VVO1" s="434"/>
      <c r="VVP1" s="434"/>
      <c r="VVQ1" s="434"/>
      <c r="VVR1" s="434"/>
      <c r="VVS1" s="434"/>
      <c r="VVT1" s="434"/>
      <c r="VVU1" s="434"/>
      <c r="VVV1" s="434"/>
      <c r="VVW1" s="434"/>
      <c r="VVX1" s="434"/>
      <c r="VVY1" s="434"/>
      <c r="VVZ1" s="434"/>
      <c r="VWA1" s="434"/>
      <c r="VWB1" s="434"/>
      <c r="VWC1" s="434"/>
      <c r="VWD1" s="434"/>
      <c r="VWE1" s="434"/>
      <c r="VWF1" s="434"/>
      <c r="VWG1" s="434"/>
      <c r="VWH1" s="434"/>
      <c r="VWI1" s="434"/>
      <c r="VWJ1" s="434"/>
      <c r="VWK1" s="434"/>
      <c r="VWL1" s="434"/>
      <c r="VWM1" s="434"/>
      <c r="VWN1" s="434"/>
      <c r="VWO1" s="434"/>
      <c r="VWP1" s="434"/>
      <c r="VWQ1" s="434"/>
      <c r="VWR1" s="434"/>
      <c r="VWS1" s="434"/>
      <c r="VWT1" s="434"/>
      <c r="VWU1" s="434"/>
      <c r="VWV1" s="434"/>
      <c r="VWW1" s="434"/>
      <c r="VWX1" s="434"/>
      <c r="VWY1" s="434"/>
      <c r="VWZ1" s="434"/>
      <c r="VXA1" s="434"/>
      <c r="VXB1" s="434"/>
      <c r="VXC1" s="434"/>
      <c r="VXD1" s="434"/>
      <c r="VXE1" s="434"/>
      <c r="VXF1" s="434"/>
      <c r="VXG1" s="434"/>
      <c r="VXH1" s="434"/>
      <c r="VXI1" s="434"/>
      <c r="VXJ1" s="434"/>
      <c r="VXK1" s="434"/>
      <c r="VXL1" s="434"/>
      <c r="VXM1" s="434"/>
      <c r="VXN1" s="434"/>
      <c r="VXO1" s="434"/>
      <c r="VXP1" s="434"/>
      <c r="VXQ1" s="434"/>
      <c r="VXR1" s="434"/>
      <c r="VXS1" s="434"/>
      <c r="VXT1" s="434"/>
      <c r="VXU1" s="434"/>
      <c r="VXV1" s="434"/>
      <c r="VXW1" s="434"/>
      <c r="VXX1" s="434"/>
      <c r="VXY1" s="434"/>
      <c r="VXZ1" s="434"/>
      <c r="VYA1" s="434"/>
      <c r="VYB1" s="434"/>
      <c r="VYC1" s="434"/>
      <c r="VYD1" s="434"/>
      <c r="VYE1" s="434"/>
      <c r="VYF1" s="434"/>
      <c r="VYG1" s="434"/>
      <c r="VYH1" s="434"/>
      <c r="VYI1" s="434"/>
      <c r="VYJ1" s="434"/>
      <c r="VYK1" s="434"/>
      <c r="VYL1" s="434"/>
      <c r="VYM1" s="434"/>
      <c r="VYN1" s="434"/>
      <c r="VYO1" s="434"/>
      <c r="VYP1" s="434"/>
      <c r="VYQ1" s="434"/>
      <c r="VYR1" s="434"/>
      <c r="VYS1" s="434"/>
      <c r="VYT1" s="434"/>
      <c r="VYU1" s="434"/>
      <c r="VYV1" s="434"/>
      <c r="VYW1" s="434"/>
      <c r="VYX1" s="434"/>
      <c r="VYY1" s="434"/>
      <c r="VYZ1" s="434"/>
      <c r="VZA1" s="434"/>
      <c r="VZB1" s="434"/>
      <c r="VZC1" s="434"/>
      <c r="VZD1" s="434"/>
      <c r="VZE1" s="434"/>
      <c r="VZF1" s="434"/>
      <c r="VZG1" s="434"/>
      <c r="VZH1" s="434"/>
      <c r="VZI1" s="434"/>
      <c r="VZJ1" s="434"/>
      <c r="VZK1" s="434"/>
      <c r="VZL1" s="434"/>
      <c r="VZM1" s="434"/>
      <c r="VZN1" s="434"/>
      <c r="VZO1" s="434"/>
      <c r="VZP1" s="434"/>
      <c r="VZQ1" s="434"/>
      <c r="VZR1" s="434"/>
      <c r="VZS1" s="434"/>
      <c r="VZT1" s="434"/>
      <c r="VZU1" s="434"/>
      <c r="VZV1" s="434"/>
      <c r="VZW1" s="434"/>
      <c r="VZX1" s="434"/>
      <c r="VZY1" s="434"/>
      <c r="VZZ1" s="434"/>
      <c r="WAA1" s="434"/>
      <c r="WAB1" s="434"/>
      <c r="WAC1" s="434"/>
      <c r="WAD1" s="434"/>
      <c r="WAE1" s="434"/>
      <c r="WAF1" s="434"/>
      <c r="WAG1" s="434"/>
      <c r="WAH1" s="434"/>
      <c r="WAI1" s="434"/>
      <c r="WAJ1" s="434"/>
      <c r="WAK1" s="434"/>
      <c r="WAL1" s="434"/>
      <c r="WAM1" s="434"/>
      <c r="WAN1" s="434"/>
      <c r="WAO1" s="434"/>
      <c r="WAP1" s="434"/>
      <c r="WAQ1" s="434"/>
      <c r="WAR1" s="434"/>
      <c r="WAS1" s="434"/>
      <c r="WAT1" s="434"/>
      <c r="WAU1" s="434"/>
      <c r="WAV1" s="434"/>
      <c r="WAW1" s="434"/>
      <c r="WAX1" s="434"/>
      <c r="WAY1" s="434"/>
      <c r="WAZ1" s="434"/>
      <c r="WBA1" s="434"/>
      <c r="WBB1" s="434"/>
      <c r="WBC1" s="434"/>
      <c r="WBD1" s="434"/>
      <c r="WBE1" s="434"/>
      <c r="WBF1" s="434"/>
      <c r="WBG1" s="434"/>
      <c r="WBH1" s="434"/>
      <c r="WBI1" s="434"/>
      <c r="WBJ1" s="434"/>
      <c r="WBK1" s="434"/>
      <c r="WBL1" s="434"/>
      <c r="WBM1" s="434"/>
      <c r="WBN1" s="434"/>
      <c r="WBO1" s="434"/>
      <c r="WBP1" s="434"/>
      <c r="WBQ1" s="434"/>
      <c r="WBR1" s="434"/>
      <c r="WBS1" s="434"/>
      <c r="WBT1" s="434"/>
      <c r="WBU1" s="434"/>
      <c r="WBV1" s="434"/>
      <c r="WBW1" s="434"/>
      <c r="WBX1" s="434"/>
      <c r="WBY1" s="434"/>
      <c r="WBZ1" s="434"/>
      <c r="WCA1" s="434"/>
      <c r="WCB1" s="434"/>
      <c r="WCC1" s="434"/>
      <c r="WCD1" s="434"/>
      <c r="WCE1" s="434"/>
      <c r="WCF1" s="434"/>
      <c r="WCG1" s="434"/>
      <c r="WCH1" s="434"/>
      <c r="WCI1" s="434"/>
      <c r="WCJ1" s="434"/>
      <c r="WCK1" s="434"/>
      <c r="WCL1" s="434"/>
      <c r="WCM1" s="434"/>
      <c r="WCN1" s="434"/>
      <c r="WCO1" s="434"/>
      <c r="WCP1" s="434"/>
      <c r="WCQ1" s="434"/>
      <c r="WCR1" s="434"/>
      <c r="WCS1" s="434"/>
      <c r="WCT1" s="434"/>
      <c r="WCU1" s="434"/>
      <c r="WCV1" s="434"/>
      <c r="WCW1" s="434"/>
      <c r="WCX1" s="434"/>
      <c r="WCY1" s="434"/>
      <c r="WCZ1" s="434"/>
      <c r="WDA1" s="434"/>
      <c r="WDB1" s="434"/>
      <c r="WDC1" s="434"/>
      <c r="WDD1" s="434"/>
      <c r="WDE1" s="434"/>
      <c r="WDF1" s="434"/>
      <c r="WDG1" s="434"/>
      <c r="WDH1" s="434"/>
      <c r="WDI1" s="434"/>
      <c r="WDJ1" s="434"/>
      <c r="WDK1" s="434"/>
      <c r="WDL1" s="434"/>
      <c r="WDM1" s="434"/>
      <c r="WDN1" s="434"/>
      <c r="WDO1" s="434"/>
      <c r="WDP1" s="434"/>
      <c r="WDQ1" s="434"/>
      <c r="WDR1" s="434"/>
      <c r="WDS1" s="434"/>
      <c r="WDT1" s="434"/>
      <c r="WDU1" s="434"/>
      <c r="WDV1" s="434"/>
      <c r="WDW1" s="434"/>
      <c r="WDX1" s="434"/>
      <c r="WDY1" s="434"/>
      <c r="WDZ1" s="434"/>
      <c r="WEA1" s="434"/>
      <c r="WEB1" s="434"/>
      <c r="WEC1" s="434"/>
      <c r="WED1" s="434"/>
      <c r="WEE1" s="434"/>
      <c r="WEF1" s="434"/>
      <c r="WEG1" s="434"/>
      <c r="WEH1" s="434"/>
      <c r="WEI1" s="434"/>
      <c r="WEJ1" s="434"/>
      <c r="WEK1" s="434"/>
      <c r="WEL1" s="434"/>
      <c r="WEM1" s="434"/>
      <c r="WEN1" s="434"/>
      <c r="WEO1" s="434"/>
      <c r="WEP1" s="434"/>
      <c r="WEQ1" s="434"/>
      <c r="WER1" s="434"/>
      <c r="WES1" s="434"/>
      <c r="WET1" s="434"/>
      <c r="WEU1" s="434"/>
      <c r="WEV1" s="434"/>
      <c r="WEW1" s="434"/>
      <c r="WEX1" s="434"/>
      <c r="WEY1" s="434"/>
      <c r="WEZ1" s="434"/>
      <c r="WFA1" s="434"/>
      <c r="WFB1" s="434"/>
      <c r="WFC1" s="434"/>
      <c r="WFD1" s="434"/>
      <c r="WFE1" s="434"/>
      <c r="WFF1" s="434"/>
      <c r="WFG1" s="434"/>
      <c r="WFH1" s="434"/>
      <c r="WFI1" s="434"/>
      <c r="WFJ1" s="434"/>
      <c r="WFK1" s="434"/>
      <c r="WFL1" s="434"/>
      <c r="WFM1" s="434"/>
      <c r="WFN1" s="434"/>
      <c r="WFO1" s="434"/>
      <c r="WFP1" s="434"/>
      <c r="WFQ1" s="434"/>
      <c r="WFR1" s="434"/>
      <c r="WFS1" s="434"/>
      <c r="WFT1" s="434"/>
      <c r="WFU1" s="434"/>
      <c r="WFV1" s="434"/>
      <c r="WFW1" s="434"/>
      <c r="WFX1" s="434"/>
      <c r="WFY1" s="434"/>
      <c r="WFZ1" s="434"/>
      <c r="WGA1" s="434"/>
      <c r="WGB1" s="434"/>
      <c r="WGC1" s="434"/>
      <c r="WGD1" s="434"/>
      <c r="WGE1" s="434"/>
      <c r="WGF1" s="434"/>
      <c r="WGG1" s="434"/>
      <c r="WGH1" s="434"/>
      <c r="WGI1" s="434"/>
      <c r="WGJ1" s="434"/>
      <c r="WGK1" s="434"/>
      <c r="WGL1" s="434"/>
      <c r="WGM1" s="434"/>
      <c r="WGN1" s="434"/>
      <c r="WGO1" s="434"/>
      <c r="WGP1" s="434"/>
      <c r="WGQ1" s="434"/>
      <c r="WGR1" s="434"/>
      <c r="WGS1" s="434"/>
      <c r="WGT1" s="434"/>
      <c r="WGU1" s="434"/>
      <c r="WGV1" s="434"/>
      <c r="WGW1" s="434"/>
      <c r="WGX1" s="434"/>
      <c r="WGY1" s="434"/>
      <c r="WGZ1" s="434"/>
      <c r="WHA1" s="434"/>
      <c r="WHB1" s="434"/>
      <c r="WHC1" s="434"/>
      <c r="WHD1" s="434"/>
      <c r="WHE1" s="434"/>
      <c r="WHF1" s="434"/>
      <c r="WHG1" s="434"/>
      <c r="WHH1" s="434"/>
      <c r="WHI1" s="434"/>
      <c r="WHJ1" s="434"/>
      <c r="WHK1" s="434"/>
      <c r="WHL1" s="434"/>
      <c r="WHM1" s="434"/>
      <c r="WHN1" s="434"/>
      <c r="WHO1" s="434"/>
      <c r="WHP1" s="434"/>
      <c r="WHQ1" s="434"/>
      <c r="WHR1" s="434"/>
      <c r="WHS1" s="434"/>
      <c r="WHT1" s="434"/>
      <c r="WHU1" s="434"/>
      <c r="WHV1" s="434"/>
      <c r="WHW1" s="434"/>
      <c r="WHX1" s="434"/>
      <c r="WHY1" s="434"/>
      <c r="WHZ1" s="434"/>
      <c r="WIA1" s="434"/>
      <c r="WIB1" s="434"/>
      <c r="WIC1" s="434"/>
      <c r="WID1" s="434"/>
      <c r="WIE1" s="434"/>
      <c r="WIF1" s="434"/>
      <c r="WIG1" s="434"/>
      <c r="WIH1" s="434"/>
      <c r="WII1" s="434"/>
      <c r="WIJ1" s="434"/>
      <c r="WIK1" s="434"/>
      <c r="WIL1" s="434"/>
      <c r="WIM1" s="434"/>
      <c r="WIN1" s="434"/>
      <c r="WIO1" s="434"/>
      <c r="WIP1" s="434"/>
      <c r="WIQ1" s="434"/>
      <c r="WIR1" s="434"/>
      <c r="WIS1" s="434"/>
      <c r="WIT1" s="434"/>
      <c r="WIU1" s="434"/>
      <c r="WIV1" s="434"/>
      <c r="WIW1" s="434"/>
      <c r="WIX1" s="434"/>
      <c r="WIY1" s="434"/>
      <c r="WIZ1" s="434"/>
      <c r="WJA1" s="434"/>
      <c r="WJB1" s="434"/>
      <c r="WJC1" s="434"/>
      <c r="WJD1" s="434"/>
      <c r="WJE1" s="434"/>
      <c r="WJF1" s="434"/>
      <c r="WJG1" s="434"/>
      <c r="WJH1" s="434"/>
      <c r="WJI1" s="434"/>
      <c r="WJJ1" s="434"/>
      <c r="WJK1" s="434"/>
      <c r="WJL1" s="434"/>
      <c r="WJM1" s="434"/>
      <c r="WJN1" s="434"/>
      <c r="WJO1" s="434"/>
      <c r="WJP1" s="434"/>
      <c r="WJQ1" s="434"/>
      <c r="WJR1" s="434"/>
      <c r="WJS1" s="434"/>
      <c r="WJT1" s="434"/>
      <c r="WJU1" s="434"/>
      <c r="WJV1" s="434"/>
      <c r="WJW1" s="434"/>
      <c r="WJX1" s="434"/>
      <c r="WJY1" s="434"/>
      <c r="WJZ1" s="434"/>
      <c r="WKA1" s="434"/>
      <c r="WKB1" s="434"/>
      <c r="WKC1" s="434"/>
      <c r="WKD1" s="434"/>
      <c r="WKE1" s="434"/>
      <c r="WKF1" s="434"/>
      <c r="WKG1" s="434"/>
      <c r="WKH1" s="434"/>
      <c r="WKI1" s="434"/>
      <c r="WKJ1" s="434"/>
      <c r="WKK1" s="434"/>
      <c r="WKL1" s="434"/>
      <c r="WKM1" s="434"/>
      <c r="WKN1" s="434"/>
      <c r="WKO1" s="434"/>
      <c r="WKP1" s="434"/>
      <c r="WKQ1" s="434"/>
      <c r="WKR1" s="434"/>
      <c r="WKS1" s="434"/>
      <c r="WKT1" s="434"/>
      <c r="WKU1" s="434"/>
      <c r="WKV1" s="434"/>
      <c r="WKW1" s="434"/>
      <c r="WKX1" s="434"/>
      <c r="WKY1" s="434"/>
      <c r="WKZ1" s="434"/>
      <c r="WLA1" s="434"/>
      <c r="WLB1" s="434"/>
      <c r="WLC1" s="434"/>
      <c r="WLD1" s="434"/>
      <c r="WLE1" s="434"/>
      <c r="WLF1" s="434"/>
      <c r="WLG1" s="434"/>
      <c r="WLH1" s="434"/>
      <c r="WLI1" s="434"/>
      <c r="WLJ1" s="434"/>
      <c r="WLK1" s="434"/>
      <c r="WLL1" s="434"/>
      <c r="WLM1" s="434"/>
      <c r="WLN1" s="434"/>
      <c r="WLO1" s="434"/>
      <c r="WLP1" s="434"/>
      <c r="WLQ1" s="434"/>
      <c r="WLR1" s="434"/>
      <c r="WLS1" s="434"/>
      <c r="WLT1" s="434"/>
      <c r="WLU1" s="434"/>
      <c r="WLV1" s="434"/>
      <c r="WLW1" s="434"/>
      <c r="WLX1" s="434"/>
      <c r="WLY1" s="434"/>
      <c r="WLZ1" s="434"/>
      <c r="WMA1" s="434"/>
      <c r="WMB1" s="434"/>
      <c r="WMC1" s="434"/>
      <c r="WMD1" s="434"/>
      <c r="WME1" s="434"/>
      <c r="WMF1" s="434"/>
      <c r="WMG1" s="434"/>
      <c r="WMH1" s="434"/>
      <c r="WMI1" s="434"/>
      <c r="WMJ1" s="434"/>
      <c r="WMK1" s="434"/>
      <c r="WML1" s="434"/>
      <c r="WMM1" s="434"/>
      <c r="WMN1" s="434"/>
      <c r="WMO1" s="434"/>
      <c r="WMP1" s="434"/>
      <c r="WMQ1" s="434"/>
      <c r="WMR1" s="434"/>
      <c r="WMS1" s="434"/>
      <c r="WMT1" s="434"/>
      <c r="WMU1" s="434"/>
      <c r="WMV1" s="434"/>
      <c r="WMW1" s="434"/>
      <c r="WMX1" s="434"/>
      <c r="WMY1" s="434"/>
      <c r="WMZ1" s="434"/>
      <c r="WNA1" s="434"/>
      <c r="WNB1" s="434"/>
      <c r="WNC1" s="434"/>
      <c r="WND1" s="434"/>
      <c r="WNE1" s="434"/>
      <c r="WNF1" s="434"/>
      <c r="WNG1" s="434"/>
      <c r="WNH1" s="434"/>
      <c r="WNI1" s="434"/>
      <c r="WNJ1" s="434"/>
      <c r="WNK1" s="434"/>
      <c r="WNL1" s="434"/>
      <c r="WNM1" s="434"/>
      <c r="WNN1" s="434"/>
      <c r="WNO1" s="434"/>
      <c r="WNP1" s="434"/>
      <c r="WNQ1" s="434"/>
      <c r="WNR1" s="434"/>
      <c r="WNS1" s="434"/>
      <c r="WNT1" s="434"/>
      <c r="WNU1" s="434"/>
      <c r="WNV1" s="434"/>
      <c r="WNW1" s="434"/>
      <c r="WNX1" s="434"/>
      <c r="WNY1" s="434"/>
      <c r="WNZ1" s="434"/>
      <c r="WOA1" s="434"/>
      <c r="WOB1" s="434"/>
      <c r="WOC1" s="434"/>
      <c r="WOD1" s="434"/>
      <c r="WOE1" s="434"/>
      <c r="WOF1" s="434"/>
      <c r="WOG1" s="434"/>
      <c r="WOH1" s="434"/>
      <c r="WOI1" s="434"/>
      <c r="WOJ1" s="434"/>
      <c r="WOK1" s="434"/>
      <c r="WOL1" s="434"/>
      <c r="WOM1" s="434"/>
      <c r="WON1" s="434"/>
      <c r="WOO1" s="434"/>
      <c r="WOP1" s="434"/>
      <c r="WOQ1" s="434"/>
      <c r="WOR1" s="434"/>
      <c r="WOS1" s="434"/>
      <c r="WOT1" s="434"/>
      <c r="WOU1" s="434"/>
      <c r="WOV1" s="434"/>
      <c r="WOW1" s="434"/>
      <c r="WOX1" s="434"/>
      <c r="WOY1" s="434"/>
      <c r="WOZ1" s="434"/>
      <c r="WPA1" s="434"/>
      <c r="WPB1" s="434"/>
      <c r="WPC1" s="434"/>
      <c r="WPD1" s="434"/>
      <c r="WPE1" s="434"/>
      <c r="WPF1" s="434"/>
      <c r="WPG1" s="434"/>
      <c r="WPH1" s="434"/>
      <c r="WPI1" s="434"/>
      <c r="WPJ1" s="434"/>
      <c r="WPK1" s="434"/>
      <c r="WPL1" s="434"/>
      <c r="WPM1" s="434"/>
      <c r="WPN1" s="434"/>
      <c r="WPO1" s="434"/>
      <c r="WPP1" s="434"/>
      <c r="WPQ1" s="434"/>
      <c r="WPR1" s="434"/>
      <c r="WPS1" s="434"/>
      <c r="WPT1" s="434"/>
      <c r="WPU1" s="434"/>
      <c r="WPV1" s="434"/>
      <c r="WPW1" s="434"/>
      <c r="WPX1" s="434"/>
      <c r="WPY1" s="434"/>
      <c r="WPZ1" s="434"/>
      <c r="WQA1" s="434"/>
      <c r="WQB1" s="434"/>
      <c r="WQC1" s="434"/>
      <c r="WQD1" s="434"/>
      <c r="WQE1" s="434"/>
      <c r="WQF1" s="434"/>
      <c r="WQG1" s="434"/>
      <c r="WQH1" s="434"/>
      <c r="WQI1" s="434"/>
      <c r="WQJ1" s="434"/>
      <c r="WQK1" s="434"/>
      <c r="WQL1" s="434"/>
      <c r="WQM1" s="434"/>
      <c r="WQN1" s="434"/>
      <c r="WQO1" s="434"/>
      <c r="WQP1" s="434"/>
      <c r="WQQ1" s="434"/>
      <c r="WQR1" s="434"/>
      <c r="WQS1" s="434"/>
      <c r="WQT1" s="434"/>
      <c r="WQU1" s="434"/>
      <c r="WQV1" s="434"/>
      <c r="WQW1" s="434"/>
      <c r="WQX1" s="434"/>
      <c r="WQY1" s="434"/>
      <c r="WQZ1" s="434"/>
      <c r="WRA1" s="434"/>
      <c r="WRB1" s="434"/>
      <c r="WRC1" s="434"/>
      <c r="WRD1" s="434"/>
      <c r="WRE1" s="434"/>
      <c r="WRF1" s="434"/>
      <c r="WRG1" s="434"/>
      <c r="WRH1" s="434"/>
      <c r="WRI1" s="434"/>
      <c r="WRJ1" s="434"/>
      <c r="WRK1" s="434"/>
      <c r="WRL1" s="434"/>
      <c r="WRM1" s="434"/>
      <c r="WRN1" s="434"/>
      <c r="WRO1" s="434"/>
      <c r="WRP1" s="434"/>
      <c r="WRQ1" s="434"/>
      <c r="WRR1" s="434"/>
      <c r="WRS1" s="434"/>
      <c r="WRT1" s="434"/>
      <c r="WRU1" s="434"/>
      <c r="WRV1" s="434"/>
      <c r="WRW1" s="434"/>
      <c r="WRX1" s="434"/>
      <c r="WRY1" s="434"/>
      <c r="WRZ1" s="434"/>
      <c r="WSA1" s="434"/>
      <c r="WSB1" s="434"/>
      <c r="WSC1" s="434"/>
      <c r="WSD1" s="434"/>
      <c r="WSE1" s="434"/>
      <c r="WSF1" s="434"/>
      <c r="WSG1" s="434"/>
      <c r="WSH1" s="434"/>
      <c r="WSI1" s="434"/>
      <c r="WSJ1" s="434"/>
      <c r="WSK1" s="434"/>
      <c r="WSL1" s="434"/>
      <c r="WSM1" s="434"/>
      <c r="WSN1" s="434"/>
      <c r="WSO1" s="434"/>
      <c r="WSP1" s="434"/>
      <c r="WSQ1" s="434"/>
      <c r="WSR1" s="434"/>
      <c r="WSS1" s="434"/>
      <c r="WST1" s="434"/>
      <c r="WSU1" s="434"/>
      <c r="WSV1" s="434"/>
      <c r="WSW1" s="434"/>
      <c r="WSX1" s="434"/>
      <c r="WSY1" s="434"/>
      <c r="WSZ1" s="434"/>
      <c r="WTA1" s="434"/>
      <c r="WTB1" s="434"/>
      <c r="WTC1" s="434"/>
      <c r="WTD1" s="434"/>
      <c r="WTE1" s="434"/>
      <c r="WTF1" s="434"/>
      <c r="WTG1" s="434"/>
      <c r="WTH1" s="434"/>
      <c r="WTI1" s="434"/>
      <c r="WTJ1" s="434"/>
      <c r="WTK1" s="434"/>
      <c r="WTL1" s="434"/>
      <c r="WTM1" s="434"/>
      <c r="WTN1" s="434"/>
      <c r="WTO1" s="434"/>
      <c r="WTP1" s="434"/>
      <c r="WTQ1" s="434"/>
      <c r="WTR1" s="434"/>
      <c r="WTS1" s="434"/>
      <c r="WTT1" s="434"/>
      <c r="WTU1" s="434"/>
      <c r="WTV1" s="434"/>
      <c r="WTW1" s="434"/>
      <c r="WTX1" s="434"/>
      <c r="WTY1" s="434"/>
      <c r="WTZ1" s="434"/>
      <c r="WUA1" s="434"/>
      <c r="WUB1" s="434"/>
      <c r="WUC1" s="434"/>
      <c r="WUD1" s="434"/>
      <c r="WUE1" s="434"/>
      <c r="WUF1" s="434"/>
      <c r="WUG1" s="434"/>
      <c r="WUH1" s="434"/>
      <c r="WUI1" s="434"/>
      <c r="WUJ1" s="434"/>
      <c r="WUK1" s="434"/>
      <c r="WUL1" s="434"/>
      <c r="WUM1" s="434"/>
      <c r="WUN1" s="434"/>
      <c r="WUO1" s="434"/>
      <c r="WUP1" s="434"/>
      <c r="WUQ1" s="434"/>
      <c r="WUR1" s="434"/>
      <c r="WUS1" s="434"/>
      <c r="WUT1" s="434"/>
      <c r="WUU1" s="434"/>
      <c r="WUV1" s="434"/>
      <c r="WUW1" s="434"/>
      <c r="WUX1" s="434"/>
      <c r="WUY1" s="434"/>
      <c r="WUZ1" s="434"/>
      <c r="WVA1" s="434"/>
      <c r="WVB1" s="434"/>
      <c r="WVC1" s="434"/>
      <c r="WVD1" s="434"/>
      <c r="WVE1" s="434"/>
      <c r="WVF1" s="434"/>
      <c r="WVG1" s="434"/>
      <c r="WVH1" s="434"/>
      <c r="WVI1" s="434"/>
      <c r="WVJ1" s="434"/>
      <c r="WVK1" s="434"/>
      <c r="WVL1" s="434"/>
      <c r="WVM1" s="434"/>
      <c r="WVN1" s="434"/>
      <c r="WVO1" s="434"/>
      <c r="WVP1" s="434"/>
      <c r="WVQ1" s="434"/>
      <c r="WVR1" s="434"/>
      <c r="WVS1" s="434"/>
      <c r="WVT1" s="434"/>
      <c r="WVU1" s="434"/>
      <c r="WVV1" s="434"/>
      <c r="WVW1" s="434"/>
      <c r="WVX1" s="434"/>
      <c r="WVY1" s="434"/>
      <c r="WVZ1" s="434"/>
      <c r="WWA1" s="434"/>
      <c r="WWB1" s="434"/>
      <c r="WWC1" s="434"/>
      <c r="WWD1" s="434"/>
      <c r="WWE1" s="434"/>
      <c r="WWF1" s="434"/>
      <c r="WWG1" s="434"/>
      <c r="WWH1" s="434"/>
      <c r="WWI1" s="434"/>
      <c r="WWJ1" s="434"/>
      <c r="WWK1" s="434"/>
      <c r="WWL1" s="434"/>
      <c r="WWM1" s="434"/>
      <c r="WWN1" s="434"/>
      <c r="WWO1" s="434"/>
      <c r="WWP1" s="434"/>
      <c r="WWQ1" s="434"/>
      <c r="WWR1" s="434"/>
      <c r="WWS1" s="434"/>
      <c r="WWT1" s="434"/>
      <c r="WWU1" s="434"/>
      <c r="WWV1" s="434"/>
      <c r="WWW1" s="434"/>
      <c r="WWX1" s="434"/>
      <c r="WWY1" s="434"/>
      <c r="WWZ1" s="434"/>
      <c r="WXA1" s="434"/>
      <c r="WXB1" s="434"/>
      <c r="WXC1" s="434"/>
      <c r="WXD1" s="434"/>
      <c r="WXE1" s="434"/>
      <c r="WXF1" s="434"/>
      <c r="WXG1" s="434"/>
      <c r="WXH1" s="434"/>
      <c r="WXI1" s="434"/>
      <c r="WXJ1" s="434"/>
      <c r="WXK1" s="434"/>
      <c r="WXL1" s="434"/>
      <c r="WXM1" s="434"/>
      <c r="WXN1" s="434"/>
      <c r="WXO1" s="434"/>
      <c r="WXP1" s="434"/>
      <c r="WXQ1" s="434"/>
      <c r="WXR1" s="434"/>
      <c r="WXS1" s="434"/>
      <c r="WXT1" s="434"/>
      <c r="WXU1" s="434"/>
      <c r="WXV1" s="434"/>
      <c r="WXW1" s="434"/>
      <c r="WXX1" s="434"/>
      <c r="WXY1" s="434"/>
      <c r="WXZ1" s="434"/>
      <c r="WYA1" s="434"/>
      <c r="WYB1" s="434"/>
      <c r="WYC1" s="434"/>
      <c r="WYD1" s="434"/>
      <c r="WYE1" s="434"/>
      <c r="WYF1" s="434"/>
      <c r="WYG1" s="434"/>
      <c r="WYH1" s="434"/>
      <c r="WYI1" s="434"/>
      <c r="WYJ1" s="434"/>
      <c r="WYK1" s="434"/>
      <c r="WYL1" s="434"/>
      <c r="WYM1" s="434"/>
      <c r="WYN1" s="434"/>
      <c r="WYO1" s="434"/>
      <c r="WYP1" s="434"/>
      <c r="WYQ1" s="434"/>
      <c r="WYR1" s="434"/>
      <c r="WYS1" s="434"/>
      <c r="WYT1" s="434"/>
      <c r="WYU1" s="434"/>
      <c r="WYV1" s="434"/>
      <c r="WYW1" s="434"/>
      <c r="WYX1" s="434"/>
      <c r="WYY1" s="434"/>
      <c r="WYZ1" s="434"/>
      <c r="WZA1" s="434"/>
      <c r="WZB1" s="434"/>
      <c r="WZC1" s="434"/>
      <c r="WZD1" s="434"/>
      <c r="WZE1" s="434"/>
      <c r="WZF1" s="434"/>
      <c r="WZG1" s="434"/>
      <c r="WZH1" s="434"/>
      <c r="WZI1" s="434"/>
      <c r="WZJ1" s="434"/>
      <c r="WZK1" s="434"/>
      <c r="WZL1" s="434"/>
      <c r="WZM1" s="434"/>
      <c r="WZN1" s="434"/>
      <c r="WZO1" s="434"/>
      <c r="WZP1" s="434"/>
      <c r="WZQ1" s="434"/>
      <c r="WZR1" s="434"/>
      <c r="WZS1" s="434"/>
      <c r="WZT1" s="434"/>
      <c r="WZU1" s="434"/>
      <c r="WZV1" s="434"/>
      <c r="WZW1" s="434"/>
      <c r="WZX1" s="434"/>
      <c r="WZY1" s="434"/>
      <c r="WZZ1" s="434"/>
      <c r="XAA1" s="434"/>
      <c r="XAB1" s="434"/>
      <c r="XAC1" s="434"/>
      <c r="XAD1" s="434"/>
      <c r="XAE1" s="434"/>
      <c r="XAF1" s="434"/>
      <c r="XAG1" s="434"/>
      <c r="XAH1" s="434"/>
      <c r="XAI1" s="434"/>
      <c r="XAJ1" s="434"/>
      <c r="XAK1" s="434"/>
      <c r="XAL1" s="434"/>
      <c r="XAM1" s="434"/>
      <c r="XAN1" s="434"/>
      <c r="XAO1" s="434"/>
      <c r="XAP1" s="434"/>
      <c r="XAQ1" s="434"/>
      <c r="XAR1" s="434"/>
      <c r="XAS1" s="434"/>
      <c r="XAT1" s="434"/>
      <c r="XAU1" s="434"/>
      <c r="XAV1" s="434"/>
      <c r="XAW1" s="434"/>
      <c r="XAX1" s="434"/>
      <c r="XAY1" s="434"/>
      <c r="XAZ1" s="434"/>
      <c r="XBA1" s="434"/>
      <c r="XBB1" s="434"/>
      <c r="XBC1" s="434"/>
      <c r="XBD1" s="434"/>
      <c r="XBE1" s="434"/>
      <c r="XBF1" s="434"/>
      <c r="XBG1" s="434"/>
      <c r="XBH1" s="434"/>
      <c r="XBI1" s="434"/>
      <c r="XBJ1" s="434"/>
      <c r="XBK1" s="434"/>
      <c r="XBL1" s="434"/>
      <c r="XBM1" s="434"/>
      <c r="XBN1" s="434"/>
      <c r="XBO1" s="434"/>
      <c r="XBP1" s="434"/>
      <c r="XBQ1" s="434"/>
      <c r="XBR1" s="434"/>
      <c r="XBS1" s="434"/>
      <c r="XBT1" s="434"/>
      <c r="XBU1" s="434"/>
      <c r="XBV1" s="434"/>
      <c r="XBW1" s="434"/>
      <c r="XBX1" s="434"/>
      <c r="XBY1" s="434"/>
      <c r="XBZ1" s="434"/>
      <c r="XCA1" s="434"/>
      <c r="XCB1" s="434"/>
      <c r="XCC1" s="434"/>
      <c r="XCD1" s="434"/>
      <c r="XCE1" s="434"/>
      <c r="XCF1" s="434"/>
      <c r="XCG1" s="434"/>
      <c r="XCH1" s="434"/>
      <c r="XCI1" s="434"/>
      <c r="XCJ1" s="434"/>
      <c r="XCK1" s="434"/>
      <c r="XCL1" s="434"/>
      <c r="XCM1" s="434"/>
      <c r="XCN1" s="434"/>
      <c r="XCO1" s="434"/>
      <c r="XCP1" s="434"/>
      <c r="XCQ1" s="434"/>
      <c r="XCR1" s="434"/>
      <c r="XCS1" s="434"/>
      <c r="XCT1" s="434"/>
      <c r="XCU1" s="434"/>
      <c r="XCV1" s="434"/>
      <c r="XCW1" s="434"/>
      <c r="XCX1" s="434"/>
      <c r="XCY1" s="434"/>
      <c r="XCZ1" s="434"/>
      <c r="XDA1" s="434"/>
      <c r="XDB1" s="434"/>
      <c r="XDC1" s="434"/>
      <c r="XDD1" s="434"/>
      <c r="XDE1" s="434"/>
      <c r="XDF1" s="434"/>
      <c r="XDG1" s="434"/>
      <c r="XDH1" s="434"/>
      <c r="XDI1" s="434"/>
      <c r="XDJ1" s="434"/>
      <c r="XDK1" s="434"/>
      <c r="XDL1" s="434"/>
      <c r="XDM1" s="434"/>
      <c r="XDN1" s="434"/>
      <c r="XDO1" s="434"/>
      <c r="XDP1" s="434"/>
      <c r="XDQ1" s="434"/>
      <c r="XDR1" s="434"/>
      <c r="XDS1" s="434"/>
      <c r="XDT1" s="434"/>
      <c r="XDU1" s="434"/>
      <c r="XDV1" s="434"/>
      <c r="XDW1" s="434"/>
      <c r="XDX1" s="434"/>
      <c r="XDY1" s="434"/>
      <c r="XDZ1" s="434"/>
      <c r="XEA1" s="434"/>
      <c r="XEB1" s="434"/>
      <c r="XEC1" s="434"/>
      <c r="XED1" s="434"/>
      <c r="XEE1" s="434"/>
      <c r="XEF1" s="434"/>
      <c r="XEG1" s="434"/>
      <c r="XEH1" s="434"/>
      <c r="XEI1" s="434"/>
      <c r="XEJ1" s="434"/>
      <c r="XEK1" s="434"/>
      <c r="XEL1" s="434"/>
      <c r="XEM1" s="434"/>
      <c r="XEN1" s="434"/>
      <c r="XEO1" s="434"/>
      <c r="XEP1" s="434"/>
      <c r="XEQ1" s="434"/>
      <c r="XER1" s="434"/>
      <c r="XES1" s="434"/>
      <c r="XET1" s="434"/>
      <c r="XEU1" s="434"/>
      <c r="XEV1" s="434"/>
      <c r="XEW1" s="434"/>
      <c r="XEX1" s="434"/>
      <c r="XEY1" s="434"/>
      <c r="XEZ1" s="434"/>
      <c r="XFA1" s="434"/>
      <c r="XFB1" s="434"/>
    </row>
    <row r="2" spans="1:16382" x14ac:dyDescent="0.3">
      <c r="A2" s="397" t="s">
        <v>2799</v>
      </c>
      <c r="B2" s="401"/>
      <c r="C2" s="398" t="s">
        <v>2800</v>
      </c>
      <c r="D2" s="399"/>
      <c r="E2" s="398" t="s">
        <v>2703</v>
      </c>
      <c r="F2" s="399"/>
    </row>
    <row r="3" spans="1:16382" x14ac:dyDescent="0.3">
      <c r="A3" s="372" t="s">
        <v>77</v>
      </c>
      <c r="B3" s="402" t="s">
        <v>2829</v>
      </c>
      <c r="C3" s="377" t="s">
        <v>2805</v>
      </c>
      <c r="D3" s="375" t="s">
        <v>2803</v>
      </c>
      <c r="E3" s="373"/>
      <c r="F3" s="378" t="s">
        <v>2820</v>
      </c>
    </row>
    <row r="4" spans="1:16382" x14ac:dyDescent="0.3">
      <c r="A4" s="353" t="s">
        <v>2769</v>
      </c>
      <c r="B4" s="403"/>
      <c r="C4" s="348"/>
      <c r="D4" s="374" t="s">
        <v>2803</v>
      </c>
      <c r="F4" s="381">
        <v>40</v>
      </c>
    </row>
    <row r="5" spans="1:16382" x14ac:dyDescent="0.3">
      <c r="A5" s="351" t="s">
        <v>2801</v>
      </c>
      <c r="B5" s="404"/>
      <c r="C5" s="348">
        <f>F4*B5</f>
        <v>0</v>
      </c>
      <c r="D5" s="374" t="s">
        <v>2803</v>
      </c>
      <c r="E5" s="347" t="s">
        <v>2852</v>
      </c>
    </row>
    <row r="6" spans="1:16382" x14ac:dyDescent="0.3">
      <c r="A6" s="351"/>
      <c r="B6" s="404"/>
      <c r="C6" s="348"/>
    </row>
    <row r="7" spans="1:16382" x14ac:dyDescent="0.3">
      <c r="A7" s="353" t="s">
        <v>2832</v>
      </c>
      <c r="B7" s="403"/>
      <c r="C7" s="348"/>
    </row>
    <row r="8" spans="1:16382" x14ac:dyDescent="0.3">
      <c r="A8" s="351"/>
      <c r="B8" s="404"/>
      <c r="C8" s="352"/>
    </row>
    <row r="9" spans="1:16382" x14ac:dyDescent="0.3">
      <c r="A9" s="351"/>
      <c r="B9" s="404"/>
      <c r="C9" s="348"/>
    </row>
    <row r="10" spans="1:16382" x14ac:dyDescent="0.3">
      <c r="A10" s="353" t="s">
        <v>27</v>
      </c>
      <c r="B10" s="403"/>
      <c r="C10" s="348"/>
    </row>
    <row r="11" spans="1:16382" x14ac:dyDescent="0.3">
      <c r="A11" s="351"/>
      <c r="B11" s="404"/>
      <c r="C11" s="352"/>
    </row>
    <row r="12" spans="1:16382" x14ac:dyDescent="0.3">
      <c r="A12" s="351"/>
      <c r="B12" s="404"/>
      <c r="C12" s="348"/>
    </row>
    <row r="13" spans="1:16382" x14ac:dyDescent="0.3">
      <c r="A13" s="353" t="s">
        <v>31</v>
      </c>
      <c r="B13" s="403"/>
      <c r="C13" s="348"/>
    </row>
    <row r="14" spans="1:16382" x14ac:dyDescent="0.3">
      <c r="A14" s="351" t="s">
        <v>2802</v>
      </c>
      <c r="B14" s="404"/>
      <c r="C14" s="348"/>
    </row>
    <row r="15" spans="1:16382" x14ac:dyDescent="0.3">
      <c r="A15" s="351" t="s">
        <v>2804</v>
      </c>
      <c r="B15" s="404"/>
      <c r="C15" s="348"/>
    </row>
    <row r="16" spans="1:16382" x14ac:dyDescent="0.3">
      <c r="A16" s="351"/>
      <c r="B16" s="404"/>
      <c r="C16" s="348"/>
    </row>
    <row r="17" spans="1:6" ht="14.4" thickBot="1" x14ac:dyDescent="0.35">
      <c r="A17" s="379" t="s">
        <v>33</v>
      </c>
      <c r="B17" s="405"/>
      <c r="C17" s="380">
        <f>SUM(C4:C16)</f>
        <v>0</v>
      </c>
      <c r="D17" s="380">
        <f>SUM(D4:D16)</f>
        <v>0</v>
      </c>
      <c r="E17" s="381"/>
    </row>
    <row r="18" spans="1:6" ht="14.4" thickTop="1" x14ac:dyDescent="0.3">
      <c r="A18" s="353"/>
      <c r="B18" s="403"/>
      <c r="C18" s="349"/>
    </row>
    <row r="19" spans="1:6" ht="25.5" customHeight="1" x14ac:dyDescent="0.3">
      <c r="A19" s="372" t="s">
        <v>2793</v>
      </c>
      <c r="B19" s="402" t="s">
        <v>2829</v>
      </c>
      <c r="C19" s="377" t="s">
        <v>2805</v>
      </c>
      <c r="D19" s="376" t="s">
        <v>2803</v>
      </c>
      <c r="E19" s="373"/>
      <c r="F19" s="376" t="s">
        <v>2851</v>
      </c>
    </row>
    <row r="20" spans="1:6" x14ac:dyDescent="0.3">
      <c r="A20" s="353" t="s">
        <v>2807</v>
      </c>
      <c r="B20" s="403"/>
      <c r="C20" s="348"/>
      <c r="E20" s="347" t="s">
        <v>2806</v>
      </c>
      <c r="F20" s="411" t="s">
        <v>2851</v>
      </c>
    </row>
    <row r="21" spans="1:6" x14ac:dyDescent="0.3">
      <c r="A21" s="351" t="s">
        <v>2808</v>
      </c>
      <c r="B21" s="404"/>
      <c r="C21" s="348">
        <f>B21*F21</f>
        <v>0</v>
      </c>
      <c r="D21" s="413">
        <f>B21*F21</f>
        <v>0</v>
      </c>
      <c r="F21" s="412">
        <v>22</v>
      </c>
    </row>
    <row r="22" spans="1:6" x14ac:dyDescent="0.3">
      <c r="A22" s="351" t="s">
        <v>2809</v>
      </c>
      <c r="B22" s="404"/>
      <c r="C22" s="348">
        <f t="shared" ref="C22:C27" si="0">B22*F22</f>
        <v>0</v>
      </c>
      <c r="D22" s="413">
        <f t="shared" ref="D22:D27" si="1">B22*F22</f>
        <v>0</v>
      </c>
      <c r="F22" s="412">
        <v>16</v>
      </c>
    </row>
    <row r="23" spans="1:6" x14ac:dyDescent="0.3">
      <c r="A23" s="351" t="s">
        <v>2810</v>
      </c>
      <c r="B23" s="404"/>
      <c r="C23" s="348">
        <f t="shared" si="0"/>
        <v>0</v>
      </c>
      <c r="D23" s="413">
        <f t="shared" si="1"/>
        <v>0</v>
      </c>
      <c r="F23" s="412">
        <v>16</v>
      </c>
    </row>
    <row r="24" spans="1:6" x14ac:dyDescent="0.3">
      <c r="A24" s="351" t="s">
        <v>2815</v>
      </c>
      <c r="B24" s="404"/>
      <c r="C24" s="348">
        <f t="shared" si="0"/>
        <v>0</v>
      </c>
      <c r="D24" s="413">
        <f t="shared" si="1"/>
        <v>0</v>
      </c>
      <c r="F24" s="412">
        <v>20</v>
      </c>
    </row>
    <row r="25" spans="1:6" x14ac:dyDescent="0.3">
      <c r="A25" s="351" t="s">
        <v>2812</v>
      </c>
      <c r="B25" s="404"/>
      <c r="C25" s="348"/>
      <c r="D25" s="413"/>
    </row>
    <row r="26" spans="1:6" x14ac:dyDescent="0.3">
      <c r="A26" s="351" t="s">
        <v>2782</v>
      </c>
      <c r="B26" s="404"/>
      <c r="C26" s="348">
        <f t="shared" si="0"/>
        <v>0</v>
      </c>
      <c r="D26" s="413">
        <f t="shared" si="1"/>
        <v>0</v>
      </c>
      <c r="F26" s="412">
        <v>5</v>
      </c>
    </row>
    <row r="27" spans="1:6" x14ac:dyDescent="0.3">
      <c r="A27" s="351" t="s">
        <v>2813</v>
      </c>
      <c r="B27" s="404"/>
      <c r="C27" s="348">
        <f t="shared" si="0"/>
        <v>0</v>
      </c>
      <c r="D27" s="413">
        <f t="shared" si="1"/>
        <v>0</v>
      </c>
      <c r="E27" s="347" t="s">
        <v>2814</v>
      </c>
      <c r="F27" s="412">
        <v>20</v>
      </c>
    </row>
    <row r="28" spans="1:6" x14ac:dyDescent="0.3">
      <c r="A28" s="354" t="s">
        <v>2811</v>
      </c>
      <c r="B28" s="406"/>
      <c r="C28" s="355">
        <f>SUM(C20:C23)</f>
        <v>0</v>
      </c>
      <c r="D28" s="355">
        <f>SUM(D20:D23)</f>
        <v>0</v>
      </c>
    </row>
    <row r="29" spans="1:6" x14ac:dyDescent="0.3">
      <c r="A29" s="354"/>
      <c r="B29" s="406"/>
      <c r="C29" s="356"/>
    </row>
    <row r="30" spans="1:6" ht="24" customHeight="1" x14ac:dyDescent="0.3">
      <c r="A30" s="372" t="s">
        <v>2819</v>
      </c>
      <c r="B30" s="402" t="s">
        <v>2829</v>
      </c>
      <c r="C30" s="377" t="s">
        <v>2805</v>
      </c>
      <c r="D30" s="376" t="s">
        <v>2803</v>
      </c>
      <c r="E30" s="378"/>
      <c r="F30" s="378" t="s">
        <v>2820</v>
      </c>
    </row>
    <row r="31" spans="1:6" x14ac:dyDescent="0.3">
      <c r="A31" s="353" t="s">
        <v>2821</v>
      </c>
      <c r="B31" s="405"/>
      <c r="C31" s="348">
        <f>B31*F31</f>
        <v>0</v>
      </c>
      <c r="D31" s="348">
        <f>B31*F31</f>
        <v>0</v>
      </c>
      <c r="E31" s="347" t="s">
        <v>2830</v>
      </c>
      <c r="F31" s="381">
        <v>40</v>
      </c>
    </row>
    <row r="32" spans="1:6" x14ac:dyDescent="0.3">
      <c r="A32" s="357" t="s">
        <v>2816</v>
      </c>
      <c r="B32" s="407">
        <v>1.25</v>
      </c>
      <c r="C32" s="348">
        <f>B32*F31</f>
        <v>50</v>
      </c>
      <c r="D32" s="348">
        <f>B32*F31</f>
        <v>50</v>
      </c>
    </row>
    <row r="33" spans="1:5" x14ac:dyDescent="0.3">
      <c r="A33" s="357" t="s">
        <v>2817</v>
      </c>
      <c r="B33" s="407">
        <v>4</v>
      </c>
      <c r="C33" s="348">
        <f>B33*F31</f>
        <v>160</v>
      </c>
      <c r="D33" s="348">
        <f>B33*F31</f>
        <v>160</v>
      </c>
    </row>
    <row r="34" spans="1:5" x14ac:dyDescent="0.3">
      <c r="A34" s="357" t="s">
        <v>2822</v>
      </c>
      <c r="B34" s="407"/>
      <c r="C34" s="348">
        <f>B34*F31</f>
        <v>0</v>
      </c>
      <c r="D34" s="348">
        <f>B34*F31</f>
        <v>0</v>
      </c>
    </row>
    <row r="35" spans="1:5" x14ac:dyDescent="0.3">
      <c r="A35" s="357" t="s">
        <v>2783</v>
      </c>
      <c r="B35" s="407">
        <v>7</v>
      </c>
      <c r="C35" s="348">
        <f>B35*F31</f>
        <v>280</v>
      </c>
      <c r="D35" s="348">
        <f>B35*F31</f>
        <v>280</v>
      </c>
    </row>
    <row r="36" spans="1:5" x14ac:dyDescent="0.3">
      <c r="A36" s="354" t="s">
        <v>2823</v>
      </c>
      <c r="B36" s="406"/>
      <c r="C36" s="355">
        <f>SUM(C31:C35)</f>
        <v>490</v>
      </c>
      <c r="D36" s="355">
        <f>SUM(D31:D35)</f>
        <v>490</v>
      </c>
    </row>
    <row r="38" spans="1:5" ht="24" customHeight="1" x14ac:dyDescent="0.3">
      <c r="A38" s="350" t="s">
        <v>2796</v>
      </c>
      <c r="B38" s="408"/>
      <c r="C38" s="377" t="s">
        <v>2805</v>
      </c>
      <c r="D38" s="376" t="s">
        <v>2803</v>
      </c>
    </row>
    <row r="39" spans="1:5" x14ac:dyDescent="0.3">
      <c r="A39" s="353" t="s">
        <v>2778</v>
      </c>
      <c r="B39" s="403"/>
      <c r="C39" s="348"/>
      <c r="E39" s="347" t="s">
        <v>2835</v>
      </c>
    </row>
    <row r="40" spans="1:5" x14ac:dyDescent="0.3">
      <c r="A40" s="357" t="s">
        <v>2825</v>
      </c>
      <c r="B40" s="404"/>
      <c r="C40" s="348"/>
    </row>
    <row r="41" spans="1:5" x14ac:dyDescent="0.3">
      <c r="A41" s="357" t="s">
        <v>2818</v>
      </c>
      <c r="B41" s="404"/>
      <c r="C41" s="348"/>
    </row>
    <row r="42" spans="1:5" x14ac:dyDescent="0.3">
      <c r="A42" s="357" t="s">
        <v>2833</v>
      </c>
      <c r="B42" s="404"/>
      <c r="C42" s="348"/>
    </row>
    <row r="43" spans="1:5" x14ac:dyDescent="0.3">
      <c r="A43" s="357" t="s">
        <v>2824</v>
      </c>
      <c r="B43" s="404"/>
      <c r="C43" s="348"/>
    </row>
    <row r="44" spans="1:5" x14ac:dyDescent="0.3">
      <c r="A44" s="353" t="s">
        <v>2779</v>
      </c>
      <c r="B44" s="403"/>
      <c r="C44" s="348"/>
    </row>
    <row r="45" spans="1:5" x14ac:dyDescent="0.3">
      <c r="A45" s="357" t="s">
        <v>2784</v>
      </c>
      <c r="B45" s="404"/>
      <c r="C45" s="348"/>
    </row>
    <row r="46" spans="1:5" x14ac:dyDescent="0.3">
      <c r="A46" s="357" t="s">
        <v>2785</v>
      </c>
      <c r="B46" s="404"/>
      <c r="C46" s="348"/>
    </row>
    <row r="47" spans="1:5" x14ac:dyDescent="0.3">
      <c r="A47" s="353" t="s">
        <v>2780</v>
      </c>
      <c r="B47" s="403"/>
      <c r="C47" s="348"/>
    </row>
    <row r="48" spans="1:5" x14ac:dyDescent="0.3">
      <c r="A48" s="357" t="s">
        <v>2786</v>
      </c>
      <c r="B48" s="404"/>
      <c r="C48" s="348"/>
    </row>
    <row r="49" spans="1:5" x14ac:dyDescent="0.3">
      <c r="A49" s="357" t="s">
        <v>2834</v>
      </c>
      <c r="B49" s="404"/>
      <c r="C49" s="348"/>
    </row>
    <row r="50" spans="1:5" x14ac:dyDescent="0.3">
      <c r="A50" s="357" t="s">
        <v>2787</v>
      </c>
      <c r="B50" s="404"/>
      <c r="C50" s="348"/>
    </row>
    <row r="51" spans="1:5" x14ac:dyDescent="0.3">
      <c r="A51" s="357" t="s">
        <v>2840</v>
      </c>
      <c r="B51" s="404"/>
      <c r="C51" s="348"/>
    </row>
    <row r="52" spans="1:5" x14ac:dyDescent="0.3">
      <c r="A52" s="357" t="s">
        <v>2841</v>
      </c>
      <c r="B52" s="404"/>
      <c r="C52" s="348"/>
    </row>
    <row r="53" spans="1:5" x14ac:dyDescent="0.3">
      <c r="A53" s="357" t="s">
        <v>2788</v>
      </c>
      <c r="B53" s="404"/>
      <c r="C53" s="348"/>
    </row>
    <row r="54" spans="1:5" x14ac:dyDescent="0.3">
      <c r="A54" s="353" t="s">
        <v>2781</v>
      </c>
      <c r="B54" s="403"/>
      <c r="C54" s="348"/>
    </row>
    <row r="55" spans="1:5" x14ac:dyDescent="0.3">
      <c r="A55" s="351" t="s">
        <v>2789</v>
      </c>
      <c r="B55" s="404"/>
      <c r="C55" s="348"/>
    </row>
    <row r="56" spans="1:5" x14ac:dyDescent="0.3">
      <c r="A56" s="351" t="s">
        <v>2790</v>
      </c>
      <c r="B56" s="404"/>
      <c r="C56" s="348"/>
    </row>
    <row r="57" spans="1:5" x14ac:dyDescent="0.3">
      <c r="A57" s="351" t="s">
        <v>2842</v>
      </c>
      <c r="B57" s="404"/>
      <c r="C57" s="348"/>
    </row>
    <row r="58" spans="1:5" x14ac:dyDescent="0.3">
      <c r="A58" s="351" t="s">
        <v>55</v>
      </c>
      <c r="B58" s="404"/>
      <c r="C58" s="348"/>
    </row>
    <row r="59" spans="1:5" x14ac:dyDescent="0.3">
      <c r="A59" s="351" t="s">
        <v>48</v>
      </c>
      <c r="B59" s="404"/>
      <c r="C59" s="348"/>
    </row>
    <row r="60" spans="1:5" x14ac:dyDescent="0.3">
      <c r="A60" s="357" t="s">
        <v>2791</v>
      </c>
      <c r="B60" s="404"/>
      <c r="C60" s="348"/>
    </row>
    <row r="61" spans="1:5" x14ac:dyDescent="0.3">
      <c r="A61" s="357" t="s">
        <v>2792</v>
      </c>
      <c r="B61" s="404"/>
      <c r="C61" s="348"/>
    </row>
    <row r="62" spans="1:5" x14ac:dyDescent="0.3">
      <c r="A62" s="354" t="s">
        <v>2826</v>
      </c>
      <c r="B62" s="406"/>
      <c r="C62" s="355">
        <f>SUM(C40:C61)</f>
        <v>0</v>
      </c>
      <c r="D62" s="355">
        <f>SUM(D40:D61)</f>
        <v>0</v>
      </c>
    </row>
    <row r="64" spans="1:5" ht="14.4" thickBot="1" x14ac:dyDescent="0.35">
      <c r="A64" s="379" t="s">
        <v>2827</v>
      </c>
      <c r="B64" s="405"/>
      <c r="C64" s="380">
        <f>C62+C36+C28</f>
        <v>490</v>
      </c>
      <c r="D64" s="380">
        <f>D62+D36+D28</f>
        <v>490</v>
      </c>
      <c r="E64" s="381"/>
    </row>
    <row r="65" spans="1:5" ht="14.4" thickTop="1" x14ac:dyDescent="0.3"/>
    <row r="66" spans="1:5" x14ac:dyDescent="0.3">
      <c r="A66" s="382" t="s">
        <v>2828</v>
      </c>
      <c r="B66" s="410"/>
      <c r="C66" s="383">
        <f>C17-C64</f>
        <v>-490</v>
      </c>
      <c r="D66" s="383">
        <f>D17-D64</f>
        <v>-490</v>
      </c>
      <c r="E66" s="382"/>
    </row>
    <row r="68" spans="1:5" x14ac:dyDescent="0.3">
      <c r="A68" s="414" t="s">
        <v>2884</v>
      </c>
    </row>
    <row r="69" spans="1:5" ht="25.8" customHeight="1" x14ac:dyDescent="0.3">
      <c r="A69" s="414" t="s">
        <v>2836</v>
      </c>
      <c r="C69" s="415">
        <f>C64/F31</f>
        <v>12.25</v>
      </c>
      <c r="E69" s="416" t="s">
        <v>2853</v>
      </c>
    </row>
    <row r="70" spans="1:5" ht="82.8" x14ac:dyDescent="0.3">
      <c r="A70" s="414" t="s">
        <v>2837</v>
      </c>
      <c r="C70" s="347">
        <f>(C17-C64)/C64</f>
        <v>-1</v>
      </c>
      <c r="E70" s="416" t="s">
        <v>2854</v>
      </c>
    </row>
  </sheetData>
  <mergeCells count="4094">
    <mergeCell ref="XEM1:XEP1"/>
    <mergeCell ref="XEQ1:XET1"/>
    <mergeCell ref="XEU1:XEX1"/>
    <mergeCell ref="XEY1:XFB1"/>
    <mergeCell ref="XDO1:XDR1"/>
    <mergeCell ref="XDS1:XDV1"/>
    <mergeCell ref="XDW1:XDZ1"/>
    <mergeCell ref="XEA1:XED1"/>
    <mergeCell ref="XEE1:XEH1"/>
    <mergeCell ref="XEI1:XEL1"/>
    <mergeCell ref="XCQ1:XCT1"/>
    <mergeCell ref="XCU1:XCX1"/>
    <mergeCell ref="XCY1:XDB1"/>
    <mergeCell ref="XDC1:XDF1"/>
    <mergeCell ref="XDG1:XDJ1"/>
    <mergeCell ref="XDK1:XDN1"/>
    <mergeCell ref="XBS1:XBV1"/>
    <mergeCell ref="XBW1:XBZ1"/>
    <mergeCell ref="XCA1:XCD1"/>
    <mergeCell ref="XCE1:XCH1"/>
    <mergeCell ref="XCI1:XCL1"/>
    <mergeCell ref="XCM1:XCP1"/>
    <mergeCell ref="XAU1:XAX1"/>
    <mergeCell ref="XAY1:XBB1"/>
    <mergeCell ref="XBC1:XBF1"/>
    <mergeCell ref="XBG1:XBJ1"/>
    <mergeCell ref="XBK1:XBN1"/>
    <mergeCell ref="XBO1:XBR1"/>
    <mergeCell ref="WZW1:WZZ1"/>
    <mergeCell ref="XAA1:XAD1"/>
    <mergeCell ref="XAE1:XAH1"/>
    <mergeCell ref="XAI1:XAL1"/>
    <mergeCell ref="XAM1:XAP1"/>
    <mergeCell ref="XAQ1:XAT1"/>
    <mergeCell ref="WYY1:WZB1"/>
    <mergeCell ref="WZC1:WZF1"/>
    <mergeCell ref="WZG1:WZJ1"/>
    <mergeCell ref="WZK1:WZN1"/>
    <mergeCell ref="WZO1:WZR1"/>
    <mergeCell ref="WZS1:WZV1"/>
    <mergeCell ref="WYA1:WYD1"/>
    <mergeCell ref="WYE1:WYH1"/>
    <mergeCell ref="WYI1:WYL1"/>
    <mergeCell ref="WYM1:WYP1"/>
    <mergeCell ref="WYQ1:WYT1"/>
    <mergeCell ref="WYU1:WYX1"/>
    <mergeCell ref="WXC1:WXF1"/>
    <mergeCell ref="WXG1:WXJ1"/>
    <mergeCell ref="WXK1:WXN1"/>
    <mergeCell ref="WXO1:WXR1"/>
    <mergeCell ref="WXS1:WXV1"/>
    <mergeCell ref="WXW1:WXZ1"/>
    <mergeCell ref="WWE1:WWH1"/>
    <mergeCell ref="WWI1:WWL1"/>
    <mergeCell ref="WWM1:WWP1"/>
    <mergeCell ref="WWQ1:WWT1"/>
    <mergeCell ref="WWU1:WWX1"/>
    <mergeCell ref="WWY1:WXB1"/>
    <mergeCell ref="WVG1:WVJ1"/>
    <mergeCell ref="WVK1:WVN1"/>
    <mergeCell ref="WVO1:WVR1"/>
    <mergeCell ref="WVS1:WVV1"/>
    <mergeCell ref="WVW1:WVZ1"/>
    <mergeCell ref="WWA1:WWD1"/>
    <mergeCell ref="WUI1:WUL1"/>
    <mergeCell ref="WUM1:WUP1"/>
    <mergeCell ref="WUQ1:WUT1"/>
    <mergeCell ref="WUU1:WUX1"/>
    <mergeCell ref="WUY1:WVB1"/>
    <mergeCell ref="WVC1:WVF1"/>
    <mergeCell ref="WTK1:WTN1"/>
    <mergeCell ref="WTO1:WTR1"/>
    <mergeCell ref="WTS1:WTV1"/>
    <mergeCell ref="WTW1:WTZ1"/>
    <mergeCell ref="WUA1:WUD1"/>
    <mergeCell ref="WUE1:WUH1"/>
    <mergeCell ref="WSM1:WSP1"/>
    <mergeCell ref="WSQ1:WST1"/>
    <mergeCell ref="WSU1:WSX1"/>
    <mergeCell ref="WSY1:WTB1"/>
    <mergeCell ref="WTC1:WTF1"/>
    <mergeCell ref="WTG1:WTJ1"/>
    <mergeCell ref="WRO1:WRR1"/>
    <mergeCell ref="WRS1:WRV1"/>
    <mergeCell ref="WRW1:WRZ1"/>
    <mergeCell ref="WSA1:WSD1"/>
    <mergeCell ref="WSE1:WSH1"/>
    <mergeCell ref="WSI1:WSL1"/>
    <mergeCell ref="WQQ1:WQT1"/>
    <mergeCell ref="WQU1:WQX1"/>
    <mergeCell ref="WQY1:WRB1"/>
    <mergeCell ref="WRC1:WRF1"/>
    <mergeCell ref="WRG1:WRJ1"/>
    <mergeCell ref="WRK1:WRN1"/>
    <mergeCell ref="WPS1:WPV1"/>
    <mergeCell ref="WPW1:WPZ1"/>
    <mergeCell ref="WQA1:WQD1"/>
    <mergeCell ref="WQE1:WQH1"/>
    <mergeCell ref="WQI1:WQL1"/>
    <mergeCell ref="WQM1:WQP1"/>
    <mergeCell ref="WOU1:WOX1"/>
    <mergeCell ref="WOY1:WPB1"/>
    <mergeCell ref="WPC1:WPF1"/>
    <mergeCell ref="WPG1:WPJ1"/>
    <mergeCell ref="WPK1:WPN1"/>
    <mergeCell ref="WPO1:WPR1"/>
    <mergeCell ref="WNW1:WNZ1"/>
    <mergeCell ref="WOA1:WOD1"/>
    <mergeCell ref="WOE1:WOH1"/>
    <mergeCell ref="WOI1:WOL1"/>
    <mergeCell ref="WOM1:WOP1"/>
    <mergeCell ref="WOQ1:WOT1"/>
    <mergeCell ref="WMY1:WNB1"/>
    <mergeCell ref="WNC1:WNF1"/>
    <mergeCell ref="WNG1:WNJ1"/>
    <mergeCell ref="WNK1:WNN1"/>
    <mergeCell ref="WNO1:WNR1"/>
    <mergeCell ref="WNS1:WNV1"/>
    <mergeCell ref="WMA1:WMD1"/>
    <mergeCell ref="WME1:WMH1"/>
    <mergeCell ref="WMI1:WML1"/>
    <mergeCell ref="WMM1:WMP1"/>
    <mergeCell ref="WMQ1:WMT1"/>
    <mergeCell ref="WMU1:WMX1"/>
    <mergeCell ref="WLC1:WLF1"/>
    <mergeCell ref="WLG1:WLJ1"/>
    <mergeCell ref="WLK1:WLN1"/>
    <mergeCell ref="WLO1:WLR1"/>
    <mergeCell ref="WLS1:WLV1"/>
    <mergeCell ref="WLW1:WLZ1"/>
    <mergeCell ref="WKE1:WKH1"/>
    <mergeCell ref="WKI1:WKL1"/>
    <mergeCell ref="WKM1:WKP1"/>
    <mergeCell ref="WKQ1:WKT1"/>
    <mergeCell ref="WKU1:WKX1"/>
    <mergeCell ref="WKY1:WLB1"/>
    <mergeCell ref="WJG1:WJJ1"/>
    <mergeCell ref="WJK1:WJN1"/>
    <mergeCell ref="WJO1:WJR1"/>
    <mergeCell ref="WJS1:WJV1"/>
    <mergeCell ref="WJW1:WJZ1"/>
    <mergeCell ref="WKA1:WKD1"/>
    <mergeCell ref="WII1:WIL1"/>
    <mergeCell ref="WIM1:WIP1"/>
    <mergeCell ref="WIQ1:WIT1"/>
    <mergeCell ref="WIU1:WIX1"/>
    <mergeCell ref="WIY1:WJB1"/>
    <mergeCell ref="WJC1:WJF1"/>
    <mergeCell ref="WHK1:WHN1"/>
    <mergeCell ref="WHO1:WHR1"/>
    <mergeCell ref="WHS1:WHV1"/>
    <mergeCell ref="WHW1:WHZ1"/>
    <mergeCell ref="WIA1:WID1"/>
    <mergeCell ref="WIE1:WIH1"/>
    <mergeCell ref="WGM1:WGP1"/>
    <mergeCell ref="WGQ1:WGT1"/>
    <mergeCell ref="WGU1:WGX1"/>
    <mergeCell ref="WGY1:WHB1"/>
    <mergeCell ref="WHC1:WHF1"/>
    <mergeCell ref="WHG1:WHJ1"/>
    <mergeCell ref="WFO1:WFR1"/>
    <mergeCell ref="WFS1:WFV1"/>
    <mergeCell ref="WFW1:WFZ1"/>
    <mergeCell ref="WGA1:WGD1"/>
    <mergeCell ref="WGE1:WGH1"/>
    <mergeCell ref="WGI1:WGL1"/>
    <mergeCell ref="WEQ1:WET1"/>
    <mergeCell ref="WEU1:WEX1"/>
    <mergeCell ref="WEY1:WFB1"/>
    <mergeCell ref="WFC1:WFF1"/>
    <mergeCell ref="WFG1:WFJ1"/>
    <mergeCell ref="WFK1:WFN1"/>
    <mergeCell ref="WDS1:WDV1"/>
    <mergeCell ref="WDW1:WDZ1"/>
    <mergeCell ref="WEA1:WED1"/>
    <mergeCell ref="WEE1:WEH1"/>
    <mergeCell ref="WEI1:WEL1"/>
    <mergeCell ref="WEM1:WEP1"/>
    <mergeCell ref="WCU1:WCX1"/>
    <mergeCell ref="WCY1:WDB1"/>
    <mergeCell ref="WDC1:WDF1"/>
    <mergeCell ref="WDG1:WDJ1"/>
    <mergeCell ref="WDK1:WDN1"/>
    <mergeCell ref="WDO1:WDR1"/>
    <mergeCell ref="WBW1:WBZ1"/>
    <mergeCell ref="WCA1:WCD1"/>
    <mergeCell ref="WCE1:WCH1"/>
    <mergeCell ref="WCI1:WCL1"/>
    <mergeCell ref="WCM1:WCP1"/>
    <mergeCell ref="WCQ1:WCT1"/>
    <mergeCell ref="WAY1:WBB1"/>
    <mergeCell ref="WBC1:WBF1"/>
    <mergeCell ref="WBG1:WBJ1"/>
    <mergeCell ref="WBK1:WBN1"/>
    <mergeCell ref="WBO1:WBR1"/>
    <mergeCell ref="WBS1:WBV1"/>
    <mergeCell ref="WAA1:WAD1"/>
    <mergeCell ref="WAE1:WAH1"/>
    <mergeCell ref="WAI1:WAL1"/>
    <mergeCell ref="WAM1:WAP1"/>
    <mergeCell ref="WAQ1:WAT1"/>
    <mergeCell ref="WAU1:WAX1"/>
    <mergeCell ref="VZC1:VZF1"/>
    <mergeCell ref="VZG1:VZJ1"/>
    <mergeCell ref="VZK1:VZN1"/>
    <mergeCell ref="VZO1:VZR1"/>
    <mergeCell ref="VZS1:VZV1"/>
    <mergeCell ref="VZW1:VZZ1"/>
    <mergeCell ref="VYE1:VYH1"/>
    <mergeCell ref="VYI1:VYL1"/>
    <mergeCell ref="VYM1:VYP1"/>
    <mergeCell ref="VYQ1:VYT1"/>
    <mergeCell ref="VYU1:VYX1"/>
    <mergeCell ref="VYY1:VZB1"/>
    <mergeCell ref="VXG1:VXJ1"/>
    <mergeCell ref="VXK1:VXN1"/>
    <mergeCell ref="VXO1:VXR1"/>
    <mergeCell ref="VXS1:VXV1"/>
    <mergeCell ref="VXW1:VXZ1"/>
    <mergeCell ref="VYA1:VYD1"/>
    <mergeCell ref="VWI1:VWL1"/>
    <mergeCell ref="VWM1:VWP1"/>
    <mergeCell ref="VWQ1:VWT1"/>
    <mergeCell ref="VWU1:VWX1"/>
    <mergeCell ref="VWY1:VXB1"/>
    <mergeCell ref="VXC1:VXF1"/>
    <mergeCell ref="VVK1:VVN1"/>
    <mergeCell ref="VVO1:VVR1"/>
    <mergeCell ref="VVS1:VVV1"/>
    <mergeCell ref="VVW1:VVZ1"/>
    <mergeCell ref="VWA1:VWD1"/>
    <mergeCell ref="VWE1:VWH1"/>
    <mergeCell ref="VUM1:VUP1"/>
    <mergeCell ref="VUQ1:VUT1"/>
    <mergeCell ref="VUU1:VUX1"/>
    <mergeCell ref="VUY1:VVB1"/>
    <mergeCell ref="VVC1:VVF1"/>
    <mergeCell ref="VVG1:VVJ1"/>
    <mergeCell ref="VTO1:VTR1"/>
    <mergeCell ref="VTS1:VTV1"/>
    <mergeCell ref="VTW1:VTZ1"/>
    <mergeCell ref="VUA1:VUD1"/>
    <mergeCell ref="VUE1:VUH1"/>
    <mergeCell ref="VUI1:VUL1"/>
    <mergeCell ref="VSQ1:VST1"/>
    <mergeCell ref="VSU1:VSX1"/>
    <mergeCell ref="VSY1:VTB1"/>
    <mergeCell ref="VTC1:VTF1"/>
    <mergeCell ref="VTG1:VTJ1"/>
    <mergeCell ref="VTK1:VTN1"/>
    <mergeCell ref="VRS1:VRV1"/>
    <mergeCell ref="VRW1:VRZ1"/>
    <mergeCell ref="VSA1:VSD1"/>
    <mergeCell ref="VSE1:VSH1"/>
    <mergeCell ref="VSI1:VSL1"/>
    <mergeCell ref="VSM1:VSP1"/>
    <mergeCell ref="VQU1:VQX1"/>
    <mergeCell ref="VQY1:VRB1"/>
    <mergeCell ref="VRC1:VRF1"/>
    <mergeCell ref="VRG1:VRJ1"/>
    <mergeCell ref="VRK1:VRN1"/>
    <mergeCell ref="VRO1:VRR1"/>
    <mergeCell ref="VPW1:VPZ1"/>
    <mergeCell ref="VQA1:VQD1"/>
    <mergeCell ref="VQE1:VQH1"/>
    <mergeCell ref="VQI1:VQL1"/>
    <mergeCell ref="VQM1:VQP1"/>
    <mergeCell ref="VQQ1:VQT1"/>
    <mergeCell ref="VOY1:VPB1"/>
    <mergeCell ref="VPC1:VPF1"/>
    <mergeCell ref="VPG1:VPJ1"/>
    <mergeCell ref="VPK1:VPN1"/>
    <mergeCell ref="VPO1:VPR1"/>
    <mergeCell ref="VPS1:VPV1"/>
    <mergeCell ref="VOA1:VOD1"/>
    <mergeCell ref="VOE1:VOH1"/>
    <mergeCell ref="VOI1:VOL1"/>
    <mergeCell ref="VOM1:VOP1"/>
    <mergeCell ref="VOQ1:VOT1"/>
    <mergeCell ref="VOU1:VOX1"/>
    <mergeCell ref="VNC1:VNF1"/>
    <mergeCell ref="VNG1:VNJ1"/>
    <mergeCell ref="VNK1:VNN1"/>
    <mergeCell ref="VNO1:VNR1"/>
    <mergeCell ref="VNS1:VNV1"/>
    <mergeCell ref="VNW1:VNZ1"/>
    <mergeCell ref="VME1:VMH1"/>
    <mergeCell ref="VMI1:VML1"/>
    <mergeCell ref="VMM1:VMP1"/>
    <mergeCell ref="VMQ1:VMT1"/>
    <mergeCell ref="VMU1:VMX1"/>
    <mergeCell ref="VMY1:VNB1"/>
    <mergeCell ref="VLG1:VLJ1"/>
    <mergeCell ref="VLK1:VLN1"/>
    <mergeCell ref="VLO1:VLR1"/>
    <mergeCell ref="VLS1:VLV1"/>
    <mergeCell ref="VLW1:VLZ1"/>
    <mergeCell ref="VMA1:VMD1"/>
    <mergeCell ref="VKI1:VKL1"/>
    <mergeCell ref="VKM1:VKP1"/>
    <mergeCell ref="VKQ1:VKT1"/>
    <mergeCell ref="VKU1:VKX1"/>
    <mergeCell ref="VKY1:VLB1"/>
    <mergeCell ref="VLC1:VLF1"/>
    <mergeCell ref="VJK1:VJN1"/>
    <mergeCell ref="VJO1:VJR1"/>
    <mergeCell ref="VJS1:VJV1"/>
    <mergeCell ref="VJW1:VJZ1"/>
    <mergeCell ref="VKA1:VKD1"/>
    <mergeCell ref="VKE1:VKH1"/>
    <mergeCell ref="VIM1:VIP1"/>
    <mergeCell ref="VIQ1:VIT1"/>
    <mergeCell ref="VIU1:VIX1"/>
    <mergeCell ref="VIY1:VJB1"/>
    <mergeCell ref="VJC1:VJF1"/>
    <mergeCell ref="VJG1:VJJ1"/>
    <mergeCell ref="VHO1:VHR1"/>
    <mergeCell ref="VHS1:VHV1"/>
    <mergeCell ref="VHW1:VHZ1"/>
    <mergeCell ref="VIA1:VID1"/>
    <mergeCell ref="VIE1:VIH1"/>
    <mergeCell ref="VII1:VIL1"/>
    <mergeCell ref="VGQ1:VGT1"/>
    <mergeCell ref="VGU1:VGX1"/>
    <mergeCell ref="VGY1:VHB1"/>
    <mergeCell ref="VHC1:VHF1"/>
    <mergeCell ref="VHG1:VHJ1"/>
    <mergeCell ref="VHK1:VHN1"/>
    <mergeCell ref="VFS1:VFV1"/>
    <mergeCell ref="VFW1:VFZ1"/>
    <mergeCell ref="VGA1:VGD1"/>
    <mergeCell ref="VGE1:VGH1"/>
    <mergeCell ref="VGI1:VGL1"/>
    <mergeCell ref="VGM1:VGP1"/>
    <mergeCell ref="VEU1:VEX1"/>
    <mergeCell ref="VEY1:VFB1"/>
    <mergeCell ref="VFC1:VFF1"/>
    <mergeCell ref="VFG1:VFJ1"/>
    <mergeCell ref="VFK1:VFN1"/>
    <mergeCell ref="VFO1:VFR1"/>
    <mergeCell ref="VDW1:VDZ1"/>
    <mergeCell ref="VEA1:VED1"/>
    <mergeCell ref="VEE1:VEH1"/>
    <mergeCell ref="VEI1:VEL1"/>
    <mergeCell ref="VEM1:VEP1"/>
    <mergeCell ref="VEQ1:VET1"/>
    <mergeCell ref="VCY1:VDB1"/>
    <mergeCell ref="VDC1:VDF1"/>
    <mergeCell ref="VDG1:VDJ1"/>
    <mergeCell ref="VDK1:VDN1"/>
    <mergeCell ref="VDO1:VDR1"/>
    <mergeCell ref="VDS1:VDV1"/>
    <mergeCell ref="VCA1:VCD1"/>
    <mergeCell ref="VCE1:VCH1"/>
    <mergeCell ref="VCI1:VCL1"/>
    <mergeCell ref="VCM1:VCP1"/>
    <mergeCell ref="VCQ1:VCT1"/>
    <mergeCell ref="VCU1:VCX1"/>
    <mergeCell ref="VBC1:VBF1"/>
    <mergeCell ref="VBG1:VBJ1"/>
    <mergeCell ref="VBK1:VBN1"/>
    <mergeCell ref="VBO1:VBR1"/>
    <mergeCell ref="VBS1:VBV1"/>
    <mergeCell ref="VBW1:VBZ1"/>
    <mergeCell ref="VAE1:VAH1"/>
    <mergeCell ref="VAI1:VAL1"/>
    <mergeCell ref="VAM1:VAP1"/>
    <mergeCell ref="VAQ1:VAT1"/>
    <mergeCell ref="VAU1:VAX1"/>
    <mergeCell ref="VAY1:VBB1"/>
    <mergeCell ref="UZG1:UZJ1"/>
    <mergeCell ref="UZK1:UZN1"/>
    <mergeCell ref="UZO1:UZR1"/>
    <mergeCell ref="UZS1:UZV1"/>
    <mergeCell ref="UZW1:UZZ1"/>
    <mergeCell ref="VAA1:VAD1"/>
    <mergeCell ref="UYI1:UYL1"/>
    <mergeCell ref="UYM1:UYP1"/>
    <mergeCell ref="UYQ1:UYT1"/>
    <mergeCell ref="UYU1:UYX1"/>
    <mergeCell ref="UYY1:UZB1"/>
    <mergeCell ref="UZC1:UZF1"/>
    <mergeCell ref="UXK1:UXN1"/>
    <mergeCell ref="UXO1:UXR1"/>
    <mergeCell ref="UXS1:UXV1"/>
    <mergeCell ref="UXW1:UXZ1"/>
    <mergeCell ref="UYA1:UYD1"/>
    <mergeCell ref="UYE1:UYH1"/>
    <mergeCell ref="UWM1:UWP1"/>
    <mergeCell ref="UWQ1:UWT1"/>
    <mergeCell ref="UWU1:UWX1"/>
    <mergeCell ref="UWY1:UXB1"/>
    <mergeCell ref="UXC1:UXF1"/>
    <mergeCell ref="UXG1:UXJ1"/>
    <mergeCell ref="UVO1:UVR1"/>
    <mergeCell ref="UVS1:UVV1"/>
    <mergeCell ref="UVW1:UVZ1"/>
    <mergeCell ref="UWA1:UWD1"/>
    <mergeCell ref="UWE1:UWH1"/>
    <mergeCell ref="UWI1:UWL1"/>
    <mergeCell ref="UUQ1:UUT1"/>
    <mergeCell ref="UUU1:UUX1"/>
    <mergeCell ref="UUY1:UVB1"/>
    <mergeCell ref="UVC1:UVF1"/>
    <mergeCell ref="UVG1:UVJ1"/>
    <mergeCell ref="UVK1:UVN1"/>
    <mergeCell ref="UTS1:UTV1"/>
    <mergeCell ref="UTW1:UTZ1"/>
    <mergeCell ref="UUA1:UUD1"/>
    <mergeCell ref="UUE1:UUH1"/>
    <mergeCell ref="UUI1:UUL1"/>
    <mergeCell ref="UUM1:UUP1"/>
    <mergeCell ref="USU1:USX1"/>
    <mergeCell ref="USY1:UTB1"/>
    <mergeCell ref="UTC1:UTF1"/>
    <mergeCell ref="UTG1:UTJ1"/>
    <mergeCell ref="UTK1:UTN1"/>
    <mergeCell ref="UTO1:UTR1"/>
    <mergeCell ref="URW1:URZ1"/>
    <mergeCell ref="USA1:USD1"/>
    <mergeCell ref="USE1:USH1"/>
    <mergeCell ref="USI1:USL1"/>
    <mergeCell ref="USM1:USP1"/>
    <mergeCell ref="USQ1:UST1"/>
    <mergeCell ref="UQY1:URB1"/>
    <mergeCell ref="URC1:URF1"/>
    <mergeCell ref="URG1:URJ1"/>
    <mergeCell ref="URK1:URN1"/>
    <mergeCell ref="URO1:URR1"/>
    <mergeCell ref="URS1:URV1"/>
    <mergeCell ref="UQA1:UQD1"/>
    <mergeCell ref="UQE1:UQH1"/>
    <mergeCell ref="UQI1:UQL1"/>
    <mergeCell ref="UQM1:UQP1"/>
    <mergeCell ref="UQQ1:UQT1"/>
    <mergeCell ref="UQU1:UQX1"/>
    <mergeCell ref="UPC1:UPF1"/>
    <mergeCell ref="UPG1:UPJ1"/>
    <mergeCell ref="UPK1:UPN1"/>
    <mergeCell ref="UPO1:UPR1"/>
    <mergeCell ref="UPS1:UPV1"/>
    <mergeCell ref="UPW1:UPZ1"/>
    <mergeCell ref="UOE1:UOH1"/>
    <mergeCell ref="UOI1:UOL1"/>
    <mergeCell ref="UOM1:UOP1"/>
    <mergeCell ref="UOQ1:UOT1"/>
    <mergeCell ref="UOU1:UOX1"/>
    <mergeCell ref="UOY1:UPB1"/>
    <mergeCell ref="UNG1:UNJ1"/>
    <mergeCell ref="UNK1:UNN1"/>
    <mergeCell ref="UNO1:UNR1"/>
    <mergeCell ref="UNS1:UNV1"/>
    <mergeCell ref="UNW1:UNZ1"/>
    <mergeCell ref="UOA1:UOD1"/>
    <mergeCell ref="UMI1:UML1"/>
    <mergeCell ref="UMM1:UMP1"/>
    <mergeCell ref="UMQ1:UMT1"/>
    <mergeCell ref="UMU1:UMX1"/>
    <mergeCell ref="UMY1:UNB1"/>
    <mergeCell ref="UNC1:UNF1"/>
    <mergeCell ref="ULK1:ULN1"/>
    <mergeCell ref="ULO1:ULR1"/>
    <mergeCell ref="ULS1:ULV1"/>
    <mergeCell ref="ULW1:ULZ1"/>
    <mergeCell ref="UMA1:UMD1"/>
    <mergeCell ref="UME1:UMH1"/>
    <mergeCell ref="UKM1:UKP1"/>
    <mergeCell ref="UKQ1:UKT1"/>
    <mergeCell ref="UKU1:UKX1"/>
    <mergeCell ref="UKY1:ULB1"/>
    <mergeCell ref="ULC1:ULF1"/>
    <mergeCell ref="ULG1:ULJ1"/>
    <mergeCell ref="UJO1:UJR1"/>
    <mergeCell ref="UJS1:UJV1"/>
    <mergeCell ref="UJW1:UJZ1"/>
    <mergeCell ref="UKA1:UKD1"/>
    <mergeCell ref="UKE1:UKH1"/>
    <mergeCell ref="UKI1:UKL1"/>
    <mergeCell ref="UIQ1:UIT1"/>
    <mergeCell ref="UIU1:UIX1"/>
    <mergeCell ref="UIY1:UJB1"/>
    <mergeCell ref="UJC1:UJF1"/>
    <mergeCell ref="UJG1:UJJ1"/>
    <mergeCell ref="UJK1:UJN1"/>
    <mergeCell ref="UHS1:UHV1"/>
    <mergeCell ref="UHW1:UHZ1"/>
    <mergeCell ref="UIA1:UID1"/>
    <mergeCell ref="UIE1:UIH1"/>
    <mergeCell ref="UII1:UIL1"/>
    <mergeCell ref="UIM1:UIP1"/>
    <mergeCell ref="UGU1:UGX1"/>
    <mergeCell ref="UGY1:UHB1"/>
    <mergeCell ref="UHC1:UHF1"/>
    <mergeCell ref="UHG1:UHJ1"/>
    <mergeCell ref="UHK1:UHN1"/>
    <mergeCell ref="UHO1:UHR1"/>
    <mergeCell ref="UFW1:UFZ1"/>
    <mergeCell ref="UGA1:UGD1"/>
    <mergeCell ref="UGE1:UGH1"/>
    <mergeCell ref="UGI1:UGL1"/>
    <mergeCell ref="UGM1:UGP1"/>
    <mergeCell ref="UGQ1:UGT1"/>
    <mergeCell ref="UEY1:UFB1"/>
    <mergeCell ref="UFC1:UFF1"/>
    <mergeCell ref="UFG1:UFJ1"/>
    <mergeCell ref="UFK1:UFN1"/>
    <mergeCell ref="UFO1:UFR1"/>
    <mergeCell ref="UFS1:UFV1"/>
    <mergeCell ref="UEA1:UED1"/>
    <mergeCell ref="UEE1:UEH1"/>
    <mergeCell ref="UEI1:UEL1"/>
    <mergeCell ref="UEM1:UEP1"/>
    <mergeCell ref="UEQ1:UET1"/>
    <mergeCell ref="UEU1:UEX1"/>
    <mergeCell ref="UDC1:UDF1"/>
    <mergeCell ref="UDG1:UDJ1"/>
    <mergeCell ref="UDK1:UDN1"/>
    <mergeCell ref="UDO1:UDR1"/>
    <mergeCell ref="UDS1:UDV1"/>
    <mergeCell ref="UDW1:UDZ1"/>
    <mergeCell ref="UCE1:UCH1"/>
    <mergeCell ref="UCI1:UCL1"/>
    <mergeCell ref="UCM1:UCP1"/>
    <mergeCell ref="UCQ1:UCT1"/>
    <mergeCell ref="UCU1:UCX1"/>
    <mergeCell ref="UCY1:UDB1"/>
    <mergeCell ref="UBG1:UBJ1"/>
    <mergeCell ref="UBK1:UBN1"/>
    <mergeCell ref="UBO1:UBR1"/>
    <mergeCell ref="UBS1:UBV1"/>
    <mergeCell ref="UBW1:UBZ1"/>
    <mergeCell ref="UCA1:UCD1"/>
    <mergeCell ref="UAI1:UAL1"/>
    <mergeCell ref="UAM1:UAP1"/>
    <mergeCell ref="UAQ1:UAT1"/>
    <mergeCell ref="UAU1:UAX1"/>
    <mergeCell ref="UAY1:UBB1"/>
    <mergeCell ref="UBC1:UBF1"/>
    <mergeCell ref="TZK1:TZN1"/>
    <mergeCell ref="TZO1:TZR1"/>
    <mergeCell ref="TZS1:TZV1"/>
    <mergeCell ref="TZW1:TZZ1"/>
    <mergeCell ref="UAA1:UAD1"/>
    <mergeCell ref="UAE1:UAH1"/>
    <mergeCell ref="TYM1:TYP1"/>
    <mergeCell ref="TYQ1:TYT1"/>
    <mergeCell ref="TYU1:TYX1"/>
    <mergeCell ref="TYY1:TZB1"/>
    <mergeCell ref="TZC1:TZF1"/>
    <mergeCell ref="TZG1:TZJ1"/>
    <mergeCell ref="TXO1:TXR1"/>
    <mergeCell ref="TXS1:TXV1"/>
    <mergeCell ref="TXW1:TXZ1"/>
    <mergeCell ref="TYA1:TYD1"/>
    <mergeCell ref="TYE1:TYH1"/>
    <mergeCell ref="TYI1:TYL1"/>
    <mergeCell ref="TWQ1:TWT1"/>
    <mergeCell ref="TWU1:TWX1"/>
    <mergeCell ref="TWY1:TXB1"/>
    <mergeCell ref="TXC1:TXF1"/>
    <mergeCell ref="TXG1:TXJ1"/>
    <mergeCell ref="TXK1:TXN1"/>
    <mergeCell ref="TVS1:TVV1"/>
    <mergeCell ref="TVW1:TVZ1"/>
    <mergeCell ref="TWA1:TWD1"/>
    <mergeCell ref="TWE1:TWH1"/>
    <mergeCell ref="TWI1:TWL1"/>
    <mergeCell ref="TWM1:TWP1"/>
    <mergeCell ref="TUU1:TUX1"/>
    <mergeCell ref="TUY1:TVB1"/>
    <mergeCell ref="TVC1:TVF1"/>
    <mergeCell ref="TVG1:TVJ1"/>
    <mergeCell ref="TVK1:TVN1"/>
    <mergeCell ref="TVO1:TVR1"/>
    <mergeCell ref="TTW1:TTZ1"/>
    <mergeCell ref="TUA1:TUD1"/>
    <mergeCell ref="TUE1:TUH1"/>
    <mergeCell ref="TUI1:TUL1"/>
    <mergeCell ref="TUM1:TUP1"/>
    <mergeCell ref="TUQ1:TUT1"/>
    <mergeCell ref="TSY1:TTB1"/>
    <mergeCell ref="TTC1:TTF1"/>
    <mergeCell ref="TTG1:TTJ1"/>
    <mergeCell ref="TTK1:TTN1"/>
    <mergeCell ref="TTO1:TTR1"/>
    <mergeCell ref="TTS1:TTV1"/>
    <mergeCell ref="TSA1:TSD1"/>
    <mergeCell ref="TSE1:TSH1"/>
    <mergeCell ref="TSI1:TSL1"/>
    <mergeCell ref="TSM1:TSP1"/>
    <mergeCell ref="TSQ1:TST1"/>
    <mergeCell ref="TSU1:TSX1"/>
    <mergeCell ref="TRC1:TRF1"/>
    <mergeCell ref="TRG1:TRJ1"/>
    <mergeCell ref="TRK1:TRN1"/>
    <mergeCell ref="TRO1:TRR1"/>
    <mergeCell ref="TRS1:TRV1"/>
    <mergeCell ref="TRW1:TRZ1"/>
    <mergeCell ref="TQE1:TQH1"/>
    <mergeCell ref="TQI1:TQL1"/>
    <mergeCell ref="TQM1:TQP1"/>
    <mergeCell ref="TQQ1:TQT1"/>
    <mergeCell ref="TQU1:TQX1"/>
    <mergeCell ref="TQY1:TRB1"/>
    <mergeCell ref="TPG1:TPJ1"/>
    <mergeCell ref="TPK1:TPN1"/>
    <mergeCell ref="TPO1:TPR1"/>
    <mergeCell ref="TPS1:TPV1"/>
    <mergeCell ref="TPW1:TPZ1"/>
    <mergeCell ref="TQA1:TQD1"/>
    <mergeCell ref="TOI1:TOL1"/>
    <mergeCell ref="TOM1:TOP1"/>
    <mergeCell ref="TOQ1:TOT1"/>
    <mergeCell ref="TOU1:TOX1"/>
    <mergeCell ref="TOY1:TPB1"/>
    <mergeCell ref="TPC1:TPF1"/>
    <mergeCell ref="TNK1:TNN1"/>
    <mergeCell ref="TNO1:TNR1"/>
    <mergeCell ref="TNS1:TNV1"/>
    <mergeCell ref="TNW1:TNZ1"/>
    <mergeCell ref="TOA1:TOD1"/>
    <mergeCell ref="TOE1:TOH1"/>
    <mergeCell ref="TMM1:TMP1"/>
    <mergeCell ref="TMQ1:TMT1"/>
    <mergeCell ref="TMU1:TMX1"/>
    <mergeCell ref="TMY1:TNB1"/>
    <mergeCell ref="TNC1:TNF1"/>
    <mergeCell ref="TNG1:TNJ1"/>
    <mergeCell ref="TLO1:TLR1"/>
    <mergeCell ref="TLS1:TLV1"/>
    <mergeCell ref="TLW1:TLZ1"/>
    <mergeCell ref="TMA1:TMD1"/>
    <mergeCell ref="TME1:TMH1"/>
    <mergeCell ref="TMI1:TML1"/>
    <mergeCell ref="TKQ1:TKT1"/>
    <mergeCell ref="TKU1:TKX1"/>
    <mergeCell ref="TKY1:TLB1"/>
    <mergeCell ref="TLC1:TLF1"/>
    <mergeCell ref="TLG1:TLJ1"/>
    <mergeCell ref="TLK1:TLN1"/>
    <mergeCell ref="TJS1:TJV1"/>
    <mergeCell ref="TJW1:TJZ1"/>
    <mergeCell ref="TKA1:TKD1"/>
    <mergeCell ref="TKE1:TKH1"/>
    <mergeCell ref="TKI1:TKL1"/>
    <mergeCell ref="TKM1:TKP1"/>
    <mergeCell ref="TIU1:TIX1"/>
    <mergeCell ref="TIY1:TJB1"/>
    <mergeCell ref="TJC1:TJF1"/>
    <mergeCell ref="TJG1:TJJ1"/>
    <mergeCell ref="TJK1:TJN1"/>
    <mergeCell ref="TJO1:TJR1"/>
    <mergeCell ref="THW1:THZ1"/>
    <mergeCell ref="TIA1:TID1"/>
    <mergeCell ref="TIE1:TIH1"/>
    <mergeCell ref="TII1:TIL1"/>
    <mergeCell ref="TIM1:TIP1"/>
    <mergeCell ref="TIQ1:TIT1"/>
    <mergeCell ref="TGY1:THB1"/>
    <mergeCell ref="THC1:THF1"/>
    <mergeCell ref="THG1:THJ1"/>
    <mergeCell ref="THK1:THN1"/>
    <mergeCell ref="THO1:THR1"/>
    <mergeCell ref="THS1:THV1"/>
    <mergeCell ref="TGA1:TGD1"/>
    <mergeCell ref="TGE1:TGH1"/>
    <mergeCell ref="TGI1:TGL1"/>
    <mergeCell ref="TGM1:TGP1"/>
    <mergeCell ref="TGQ1:TGT1"/>
    <mergeCell ref="TGU1:TGX1"/>
    <mergeCell ref="TFC1:TFF1"/>
    <mergeCell ref="TFG1:TFJ1"/>
    <mergeCell ref="TFK1:TFN1"/>
    <mergeCell ref="TFO1:TFR1"/>
    <mergeCell ref="TFS1:TFV1"/>
    <mergeCell ref="TFW1:TFZ1"/>
    <mergeCell ref="TEE1:TEH1"/>
    <mergeCell ref="TEI1:TEL1"/>
    <mergeCell ref="TEM1:TEP1"/>
    <mergeCell ref="TEQ1:TET1"/>
    <mergeCell ref="TEU1:TEX1"/>
    <mergeCell ref="TEY1:TFB1"/>
    <mergeCell ref="TDG1:TDJ1"/>
    <mergeCell ref="TDK1:TDN1"/>
    <mergeCell ref="TDO1:TDR1"/>
    <mergeCell ref="TDS1:TDV1"/>
    <mergeCell ref="TDW1:TDZ1"/>
    <mergeCell ref="TEA1:TED1"/>
    <mergeCell ref="TCI1:TCL1"/>
    <mergeCell ref="TCM1:TCP1"/>
    <mergeCell ref="TCQ1:TCT1"/>
    <mergeCell ref="TCU1:TCX1"/>
    <mergeCell ref="TCY1:TDB1"/>
    <mergeCell ref="TDC1:TDF1"/>
    <mergeCell ref="TBK1:TBN1"/>
    <mergeCell ref="TBO1:TBR1"/>
    <mergeCell ref="TBS1:TBV1"/>
    <mergeCell ref="TBW1:TBZ1"/>
    <mergeCell ref="TCA1:TCD1"/>
    <mergeCell ref="TCE1:TCH1"/>
    <mergeCell ref="TAM1:TAP1"/>
    <mergeCell ref="TAQ1:TAT1"/>
    <mergeCell ref="TAU1:TAX1"/>
    <mergeCell ref="TAY1:TBB1"/>
    <mergeCell ref="TBC1:TBF1"/>
    <mergeCell ref="TBG1:TBJ1"/>
    <mergeCell ref="SZO1:SZR1"/>
    <mergeCell ref="SZS1:SZV1"/>
    <mergeCell ref="SZW1:SZZ1"/>
    <mergeCell ref="TAA1:TAD1"/>
    <mergeCell ref="TAE1:TAH1"/>
    <mergeCell ref="TAI1:TAL1"/>
    <mergeCell ref="SYQ1:SYT1"/>
    <mergeCell ref="SYU1:SYX1"/>
    <mergeCell ref="SYY1:SZB1"/>
    <mergeCell ref="SZC1:SZF1"/>
    <mergeCell ref="SZG1:SZJ1"/>
    <mergeCell ref="SZK1:SZN1"/>
    <mergeCell ref="SXS1:SXV1"/>
    <mergeCell ref="SXW1:SXZ1"/>
    <mergeCell ref="SYA1:SYD1"/>
    <mergeCell ref="SYE1:SYH1"/>
    <mergeCell ref="SYI1:SYL1"/>
    <mergeCell ref="SYM1:SYP1"/>
    <mergeCell ref="SWU1:SWX1"/>
    <mergeCell ref="SWY1:SXB1"/>
    <mergeCell ref="SXC1:SXF1"/>
    <mergeCell ref="SXG1:SXJ1"/>
    <mergeCell ref="SXK1:SXN1"/>
    <mergeCell ref="SXO1:SXR1"/>
    <mergeCell ref="SVW1:SVZ1"/>
    <mergeCell ref="SWA1:SWD1"/>
    <mergeCell ref="SWE1:SWH1"/>
    <mergeCell ref="SWI1:SWL1"/>
    <mergeCell ref="SWM1:SWP1"/>
    <mergeCell ref="SWQ1:SWT1"/>
    <mergeCell ref="SUY1:SVB1"/>
    <mergeCell ref="SVC1:SVF1"/>
    <mergeCell ref="SVG1:SVJ1"/>
    <mergeCell ref="SVK1:SVN1"/>
    <mergeCell ref="SVO1:SVR1"/>
    <mergeCell ref="SVS1:SVV1"/>
    <mergeCell ref="SUA1:SUD1"/>
    <mergeCell ref="SUE1:SUH1"/>
    <mergeCell ref="SUI1:SUL1"/>
    <mergeCell ref="SUM1:SUP1"/>
    <mergeCell ref="SUQ1:SUT1"/>
    <mergeCell ref="SUU1:SUX1"/>
    <mergeCell ref="STC1:STF1"/>
    <mergeCell ref="STG1:STJ1"/>
    <mergeCell ref="STK1:STN1"/>
    <mergeCell ref="STO1:STR1"/>
    <mergeCell ref="STS1:STV1"/>
    <mergeCell ref="STW1:STZ1"/>
    <mergeCell ref="SSE1:SSH1"/>
    <mergeCell ref="SSI1:SSL1"/>
    <mergeCell ref="SSM1:SSP1"/>
    <mergeCell ref="SSQ1:SST1"/>
    <mergeCell ref="SSU1:SSX1"/>
    <mergeCell ref="SSY1:STB1"/>
    <mergeCell ref="SRG1:SRJ1"/>
    <mergeCell ref="SRK1:SRN1"/>
    <mergeCell ref="SRO1:SRR1"/>
    <mergeCell ref="SRS1:SRV1"/>
    <mergeCell ref="SRW1:SRZ1"/>
    <mergeCell ref="SSA1:SSD1"/>
    <mergeCell ref="SQI1:SQL1"/>
    <mergeCell ref="SQM1:SQP1"/>
    <mergeCell ref="SQQ1:SQT1"/>
    <mergeCell ref="SQU1:SQX1"/>
    <mergeCell ref="SQY1:SRB1"/>
    <mergeCell ref="SRC1:SRF1"/>
    <mergeCell ref="SPK1:SPN1"/>
    <mergeCell ref="SPO1:SPR1"/>
    <mergeCell ref="SPS1:SPV1"/>
    <mergeCell ref="SPW1:SPZ1"/>
    <mergeCell ref="SQA1:SQD1"/>
    <mergeCell ref="SQE1:SQH1"/>
    <mergeCell ref="SOM1:SOP1"/>
    <mergeCell ref="SOQ1:SOT1"/>
    <mergeCell ref="SOU1:SOX1"/>
    <mergeCell ref="SOY1:SPB1"/>
    <mergeCell ref="SPC1:SPF1"/>
    <mergeCell ref="SPG1:SPJ1"/>
    <mergeCell ref="SNO1:SNR1"/>
    <mergeCell ref="SNS1:SNV1"/>
    <mergeCell ref="SNW1:SNZ1"/>
    <mergeCell ref="SOA1:SOD1"/>
    <mergeCell ref="SOE1:SOH1"/>
    <mergeCell ref="SOI1:SOL1"/>
    <mergeCell ref="SMQ1:SMT1"/>
    <mergeCell ref="SMU1:SMX1"/>
    <mergeCell ref="SMY1:SNB1"/>
    <mergeCell ref="SNC1:SNF1"/>
    <mergeCell ref="SNG1:SNJ1"/>
    <mergeCell ref="SNK1:SNN1"/>
    <mergeCell ref="SLS1:SLV1"/>
    <mergeCell ref="SLW1:SLZ1"/>
    <mergeCell ref="SMA1:SMD1"/>
    <mergeCell ref="SME1:SMH1"/>
    <mergeCell ref="SMI1:SML1"/>
    <mergeCell ref="SMM1:SMP1"/>
    <mergeCell ref="SKU1:SKX1"/>
    <mergeCell ref="SKY1:SLB1"/>
    <mergeCell ref="SLC1:SLF1"/>
    <mergeCell ref="SLG1:SLJ1"/>
    <mergeCell ref="SLK1:SLN1"/>
    <mergeCell ref="SLO1:SLR1"/>
    <mergeCell ref="SJW1:SJZ1"/>
    <mergeCell ref="SKA1:SKD1"/>
    <mergeCell ref="SKE1:SKH1"/>
    <mergeCell ref="SKI1:SKL1"/>
    <mergeCell ref="SKM1:SKP1"/>
    <mergeCell ref="SKQ1:SKT1"/>
    <mergeCell ref="SIY1:SJB1"/>
    <mergeCell ref="SJC1:SJF1"/>
    <mergeCell ref="SJG1:SJJ1"/>
    <mergeCell ref="SJK1:SJN1"/>
    <mergeCell ref="SJO1:SJR1"/>
    <mergeCell ref="SJS1:SJV1"/>
    <mergeCell ref="SIA1:SID1"/>
    <mergeCell ref="SIE1:SIH1"/>
    <mergeCell ref="SII1:SIL1"/>
    <mergeCell ref="SIM1:SIP1"/>
    <mergeCell ref="SIQ1:SIT1"/>
    <mergeCell ref="SIU1:SIX1"/>
    <mergeCell ref="SHC1:SHF1"/>
    <mergeCell ref="SHG1:SHJ1"/>
    <mergeCell ref="SHK1:SHN1"/>
    <mergeCell ref="SHO1:SHR1"/>
    <mergeCell ref="SHS1:SHV1"/>
    <mergeCell ref="SHW1:SHZ1"/>
    <mergeCell ref="SGE1:SGH1"/>
    <mergeCell ref="SGI1:SGL1"/>
    <mergeCell ref="SGM1:SGP1"/>
    <mergeCell ref="SGQ1:SGT1"/>
    <mergeCell ref="SGU1:SGX1"/>
    <mergeCell ref="SGY1:SHB1"/>
    <mergeCell ref="SFG1:SFJ1"/>
    <mergeCell ref="SFK1:SFN1"/>
    <mergeCell ref="SFO1:SFR1"/>
    <mergeCell ref="SFS1:SFV1"/>
    <mergeCell ref="SFW1:SFZ1"/>
    <mergeCell ref="SGA1:SGD1"/>
    <mergeCell ref="SEI1:SEL1"/>
    <mergeCell ref="SEM1:SEP1"/>
    <mergeCell ref="SEQ1:SET1"/>
    <mergeCell ref="SEU1:SEX1"/>
    <mergeCell ref="SEY1:SFB1"/>
    <mergeCell ref="SFC1:SFF1"/>
    <mergeCell ref="SDK1:SDN1"/>
    <mergeCell ref="SDO1:SDR1"/>
    <mergeCell ref="SDS1:SDV1"/>
    <mergeCell ref="SDW1:SDZ1"/>
    <mergeCell ref="SEA1:SED1"/>
    <mergeCell ref="SEE1:SEH1"/>
    <mergeCell ref="SCM1:SCP1"/>
    <mergeCell ref="SCQ1:SCT1"/>
    <mergeCell ref="SCU1:SCX1"/>
    <mergeCell ref="SCY1:SDB1"/>
    <mergeCell ref="SDC1:SDF1"/>
    <mergeCell ref="SDG1:SDJ1"/>
    <mergeCell ref="SBO1:SBR1"/>
    <mergeCell ref="SBS1:SBV1"/>
    <mergeCell ref="SBW1:SBZ1"/>
    <mergeCell ref="SCA1:SCD1"/>
    <mergeCell ref="SCE1:SCH1"/>
    <mergeCell ref="SCI1:SCL1"/>
    <mergeCell ref="SAQ1:SAT1"/>
    <mergeCell ref="SAU1:SAX1"/>
    <mergeCell ref="SAY1:SBB1"/>
    <mergeCell ref="SBC1:SBF1"/>
    <mergeCell ref="SBG1:SBJ1"/>
    <mergeCell ref="SBK1:SBN1"/>
    <mergeCell ref="RZS1:RZV1"/>
    <mergeCell ref="RZW1:RZZ1"/>
    <mergeCell ref="SAA1:SAD1"/>
    <mergeCell ref="SAE1:SAH1"/>
    <mergeCell ref="SAI1:SAL1"/>
    <mergeCell ref="SAM1:SAP1"/>
    <mergeCell ref="RYU1:RYX1"/>
    <mergeCell ref="RYY1:RZB1"/>
    <mergeCell ref="RZC1:RZF1"/>
    <mergeCell ref="RZG1:RZJ1"/>
    <mergeCell ref="RZK1:RZN1"/>
    <mergeCell ref="RZO1:RZR1"/>
    <mergeCell ref="RXW1:RXZ1"/>
    <mergeCell ref="RYA1:RYD1"/>
    <mergeCell ref="RYE1:RYH1"/>
    <mergeCell ref="RYI1:RYL1"/>
    <mergeCell ref="RYM1:RYP1"/>
    <mergeCell ref="RYQ1:RYT1"/>
    <mergeCell ref="RWY1:RXB1"/>
    <mergeCell ref="RXC1:RXF1"/>
    <mergeCell ref="RXG1:RXJ1"/>
    <mergeCell ref="RXK1:RXN1"/>
    <mergeCell ref="RXO1:RXR1"/>
    <mergeCell ref="RXS1:RXV1"/>
    <mergeCell ref="RWA1:RWD1"/>
    <mergeCell ref="RWE1:RWH1"/>
    <mergeCell ref="RWI1:RWL1"/>
    <mergeCell ref="RWM1:RWP1"/>
    <mergeCell ref="RWQ1:RWT1"/>
    <mergeCell ref="RWU1:RWX1"/>
    <mergeCell ref="RVC1:RVF1"/>
    <mergeCell ref="RVG1:RVJ1"/>
    <mergeCell ref="RVK1:RVN1"/>
    <mergeCell ref="RVO1:RVR1"/>
    <mergeCell ref="RVS1:RVV1"/>
    <mergeCell ref="RVW1:RVZ1"/>
    <mergeCell ref="RUE1:RUH1"/>
    <mergeCell ref="RUI1:RUL1"/>
    <mergeCell ref="RUM1:RUP1"/>
    <mergeCell ref="RUQ1:RUT1"/>
    <mergeCell ref="RUU1:RUX1"/>
    <mergeCell ref="RUY1:RVB1"/>
    <mergeCell ref="RTG1:RTJ1"/>
    <mergeCell ref="RTK1:RTN1"/>
    <mergeCell ref="RTO1:RTR1"/>
    <mergeCell ref="RTS1:RTV1"/>
    <mergeCell ref="RTW1:RTZ1"/>
    <mergeCell ref="RUA1:RUD1"/>
    <mergeCell ref="RSI1:RSL1"/>
    <mergeCell ref="RSM1:RSP1"/>
    <mergeCell ref="RSQ1:RST1"/>
    <mergeCell ref="RSU1:RSX1"/>
    <mergeCell ref="RSY1:RTB1"/>
    <mergeCell ref="RTC1:RTF1"/>
    <mergeCell ref="RRK1:RRN1"/>
    <mergeCell ref="RRO1:RRR1"/>
    <mergeCell ref="RRS1:RRV1"/>
    <mergeCell ref="RRW1:RRZ1"/>
    <mergeCell ref="RSA1:RSD1"/>
    <mergeCell ref="RSE1:RSH1"/>
    <mergeCell ref="RQM1:RQP1"/>
    <mergeCell ref="RQQ1:RQT1"/>
    <mergeCell ref="RQU1:RQX1"/>
    <mergeCell ref="RQY1:RRB1"/>
    <mergeCell ref="RRC1:RRF1"/>
    <mergeCell ref="RRG1:RRJ1"/>
    <mergeCell ref="RPO1:RPR1"/>
    <mergeCell ref="RPS1:RPV1"/>
    <mergeCell ref="RPW1:RPZ1"/>
    <mergeCell ref="RQA1:RQD1"/>
    <mergeCell ref="RQE1:RQH1"/>
    <mergeCell ref="RQI1:RQL1"/>
    <mergeCell ref="ROQ1:ROT1"/>
    <mergeCell ref="ROU1:ROX1"/>
    <mergeCell ref="ROY1:RPB1"/>
    <mergeCell ref="RPC1:RPF1"/>
    <mergeCell ref="RPG1:RPJ1"/>
    <mergeCell ref="RPK1:RPN1"/>
    <mergeCell ref="RNS1:RNV1"/>
    <mergeCell ref="RNW1:RNZ1"/>
    <mergeCell ref="ROA1:ROD1"/>
    <mergeCell ref="ROE1:ROH1"/>
    <mergeCell ref="ROI1:ROL1"/>
    <mergeCell ref="ROM1:ROP1"/>
    <mergeCell ref="RMU1:RMX1"/>
    <mergeCell ref="RMY1:RNB1"/>
    <mergeCell ref="RNC1:RNF1"/>
    <mergeCell ref="RNG1:RNJ1"/>
    <mergeCell ref="RNK1:RNN1"/>
    <mergeCell ref="RNO1:RNR1"/>
    <mergeCell ref="RLW1:RLZ1"/>
    <mergeCell ref="RMA1:RMD1"/>
    <mergeCell ref="RME1:RMH1"/>
    <mergeCell ref="RMI1:RML1"/>
    <mergeCell ref="RMM1:RMP1"/>
    <mergeCell ref="RMQ1:RMT1"/>
    <mergeCell ref="RKY1:RLB1"/>
    <mergeCell ref="RLC1:RLF1"/>
    <mergeCell ref="RLG1:RLJ1"/>
    <mergeCell ref="RLK1:RLN1"/>
    <mergeCell ref="RLO1:RLR1"/>
    <mergeCell ref="RLS1:RLV1"/>
    <mergeCell ref="RKA1:RKD1"/>
    <mergeCell ref="RKE1:RKH1"/>
    <mergeCell ref="RKI1:RKL1"/>
    <mergeCell ref="RKM1:RKP1"/>
    <mergeCell ref="RKQ1:RKT1"/>
    <mergeCell ref="RKU1:RKX1"/>
    <mergeCell ref="RJC1:RJF1"/>
    <mergeCell ref="RJG1:RJJ1"/>
    <mergeCell ref="RJK1:RJN1"/>
    <mergeCell ref="RJO1:RJR1"/>
    <mergeCell ref="RJS1:RJV1"/>
    <mergeCell ref="RJW1:RJZ1"/>
    <mergeCell ref="RIE1:RIH1"/>
    <mergeCell ref="RII1:RIL1"/>
    <mergeCell ref="RIM1:RIP1"/>
    <mergeCell ref="RIQ1:RIT1"/>
    <mergeCell ref="RIU1:RIX1"/>
    <mergeCell ref="RIY1:RJB1"/>
    <mergeCell ref="RHG1:RHJ1"/>
    <mergeCell ref="RHK1:RHN1"/>
    <mergeCell ref="RHO1:RHR1"/>
    <mergeCell ref="RHS1:RHV1"/>
    <mergeCell ref="RHW1:RHZ1"/>
    <mergeCell ref="RIA1:RID1"/>
    <mergeCell ref="RGI1:RGL1"/>
    <mergeCell ref="RGM1:RGP1"/>
    <mergeCell ref="RGQ1:RGT1"/>
    <mergeCell ref="RGU1:RGX1"/>
    <mergeCell ref="RGY1:RHB1"/>
    <mergeCell ref="RHC1:RHF1"/>
    <mergeCell ref="RFK1:RFN1"/>
    <mergeCell ref="RFO1:RFR1"/>
    <mergeCell ref="RFS1:RFV1"/>
    <mergeCell ref="RFW1:RFZ1"/>
    <mergeCell ref="RGA1:RGD1"/>
    <mergeCell ref="RGE1:RGH1"/>
    <mergeCell ref="REM1:REP1"/>
    <mergeCell ref="REQ1:RET1"/>
    <mergeCell ref="REU1:REX1"/>
    <mergeCell ref="REY1:RFB1"/>
    <mergeCell ref="RFC1:RFF1"/>
    <mergeCell ref="RFG1:RFJ1"/>
    <mergeCell ref="RDO1:RDR1"/>
    <mergeCell ref="RDS1:RDV1"/>
    <mergeCell ref="RDW1:RDZ1"/>
    <mergeCell ref="REA1:RED1"/>
    <mergeCell ref="REE1:REH1"/>
    <mergeCell ref="REI1:REL1"/>
    <mergeCell ref="RCQ1:RCT1"/>
    <mergeCell ref="RCU1:RCX1"/>
    <mergeCell ref="RCY1:RDB1"/>
    <mergeCell ref="RDC1:RDF1"/>
    <mergeCell ref="RDG1:RDJ1"/>
    <mergeCell ref="RDK1:RDN1"/>
    <mergeCell ref="RBS1:RBV1"/>
    <mergeCell ref="RBW1:RBZ1"/>
    <mergeCell ref="RCA1:RCD1"/>
    <mergeCell ref="RCE1:RCH1"/>
    <mergeCell ref="RCI1:RCL1"/>
    <mergeCell ref="RCM1:RCP1"/>
    <mergeCell ref="RAU1:RAX1"/>
    <mergeCell ref="RAY1:RBB1"/>
    <mergeCell ref="RBC1:RBF1"/>
    <mergeCell ref="RBG1:RBJ1"/>
    <mergeCell ref="RBK1:RBN1"/>
    <mergeCell ref="RBO1:RBR1"/>
    <mergeCell ref="QZW1:QZZ1"/>
    <mergeCell ref="RAA1:RAD1"/>
    <mergeCell ref="RAE1:RAH1"/>
    <mergeCell ref="RAI1:RAL1"/>
    <mergeCell ref="RAM1:RAP1"/>
    <mergeCell ref="RAQ1:RAT1"/>
    <mergeCell ref="QYY1:QZB1"/>
    <mergeCell ref="QZC1:QZF1"/>
    <mergeCell ref="QZG1:QZJ1"/>
    <mergeCell ref="QZK1:QZN1"/>
    <mergeCell ref="QZO1:QZR1"/>
    <mergeCell ref="QZS1:QZV1"/>
    <mergeCell ref="QYA1:QYD1"/>
    <mergeCell ref="QYE1:QYH1"/>
    <mergeCell ref="QYI1:QYL1"/>
    <mergeCell ref="QYM1:QYP1"/>
    <mergeCell ref="QYQ1:QYT1"/>
    <mergeCell ref="QYU1:QYX1"/>
    <mergeCell ref="QXC1:QXF1"/>
    <mergeCell ref="QXG1:QXJ1"/>
    <mergeCell ref="QXK1:QXN1"/>
    <mergeCell ref="QXO1:QXR1"/>
    <mergeCell ref="QXS1:QXV1"/>
    <mergeCell ref="QXW1:QXZ1"/>
    <mergeCell ref="QWE1:QWH1"/>
    <mergeCell ref="QWI1:QWL1"/>
    <mergeCell ref="QWM1:QWP1"/>
    <mergeCell ref="QWQ1:QWT1"/>
    <mergeCell ref="QWU1:QWX1"/>
    <mergeCell ref="QWY1:QXB1"/>
    <mergeCell ref="QVG1:QVJ1"/>
    <mergeCell ref="QVK1:QVN1"/>
    <mergeCell ref="QVO1:QVR1"/>
    <mergeCell ref="QVS1:QVV1"/>
    <mergeCell ref="QVW1:QVZ1"/>
    <mergeCell ref="QWA1:QWD1"/>
    <mergeCell ref="QUI1:QUL1"/>
    <mergeCell ref="QUM1:QUP1"/>
    <mergeCell ref="QUQ1:QUT1"/>
    <mergeCell ref="QUU1:QUX1"/>
    <mergeCell ref="QUY1:QVB1"/>
    <mergeCell ref="QVC1:QVF1"/>
    <mergeCell ref="QTK1:QTN1"/>
    <mergeCell ref="QTO1:QTR1"/>
    <mergeCell ref="QTS1:QTV1"/>
    <mergeCell ref="QTW1:QTZ1"/>
    <mergeCell ref="QUA1:QUD1"/>
    <mergeCell ref="QUE1:QUH1"/>
    <mergeCell ref="QSM1:QSP1"/>
    <mergeCell ref="QSQ1:QST1"/>
    <mergeCell ref="QSU1:QSX1"/>
    <mergeCell ref="QSY1:QTB1"/>
    <mergeCell ref="QTC1:QTF1"/>
    <mergeCell ref="QTG1:QTJ1"/>
    <mergeCell ref="QRO1:QRR1"/>
    <mergeCell ref="QRS1:QRV1"/>
    <mergeCell ref="QRW1:QRZ1"/>
    <mergeCell ref="QSA1:QSD1"/>
    <mergeCell ref="QSE1:QSH1"/>
    <mergeCell ref="QSI1:QSL1"/>
    <mergeCell ref="QQQ1:QQT1"/>
    <mergeCell ref="QQU1:QQX1"/>
    <mergeCell ref="QQY1:QRB1"/>
    <mergeCell ref="QRC1:QRF1"/>
    <mergeCell ref="QRG1:QRJ1"/>
    <mergeCell ref="QRK1:QRN1"/>
    <mergeCell ref="QPS1:QPV1"/>
    <mergeCell ref="QPW1:QPZ1"/>
    <mergeCell ref="QQA1:QQD1"/>
    <mergeCell ref="QQE1:QQH1"/>
    <mergeCell ref="QQI1:QQL1"/>
    <mergeCell ref="QQM1:QQP1"/>
    <mergeCell ref="QOU1:QOX1"/>
    <mergeCell ref="QOY1:QPB1"/>
    <mergeCell ref="QPC1:QPF1"/>
    <mergeCell ref="QPG1:QPJ1"/>
    <mergeCell ref="QPK1:QPN1"/>
    <mergeCell ref="QPO1:QPR1"/>
    <mergeCell ref="QNW1:QNZ1"/>
    <mergeCell ref="QOA1:QOD1"/>
    <mergeCell ref="QOE1:QOH1"/>
    <mergeCell ref="QOI1:QOL1"/>
    <mergeCell ref="QOM1:QOP1"/>
    <mergeCell ref="QOQ1:QOT1"/>
    <mergeCell ref="QMY1:QNB1"/>
    <mergeCell ref="QNC1:QNF1"/>
    <mergeCell ref="QNG1:QNJ1"/>
    <mergeCell ref="QNK1:QNN1"/>
    <mergeCell ref="QNO1:QNR1"/>
    <mergeCell ref="QNS1:QNV1"/>
    <mergeCell ref="QMA1:QMD1"/>
    <mergeCell ref="QME1:QMH1"/>
    <mergeCell ref="QMI1:QML1"/>
    <mergeCell ref="QMM1:QMP1"/>
    <mergeCell ref="QMQ1:QMT1"/>
    <mergeCell ref="QMU1:QMX1"/>
    <mergeCell ref="QLC1:QLF1"/>
    <mergeCell ref="QLG1:QLJ1"/>
    <mergeCell ref="QLK1:QLN1"/>
    <mergeCell ref="QLO1:QLR1"/>
    <mergeCell ref="QLS1:QLV1"/>
    <mergeCell ref="QLW1:QLZ1"/>
    <mergeCell ref="QKE1:QKH1"/>
    <mergeCell ref="QKI1:QKL1"/>
    <mergeCell ref="QKM1:QKP1"/>
    <mergeCell ref="QKQ1:QKT1"/>
    <mergeCell ref="QKU1:QKX1"/>
    <mergeCell ref="QKY1:QLB1"/>
    <mergeCell ref="QJG1:QJJ1"/>
    <mergeCell ref="QJK1:QJN1"/>
    <mergeCell ref="QJO1:QJR1"/>
    <mergeCell ref="QJS1:QJV1"/>
    <mergeCell ref="QJW1:QJZ1"/>
    <mergeCell ref="QKA1:QKD1"/>
    <mergeCell ref="QII1:QIL1"/>
    <mergeCell ref="QIM1:QIP1"/>
    <mergeCell ref="QIQ1:QIT1"/>
    <mergeCell ref="QIU1:QIX1"/>
    <mergeCell ref="QIY1:QJB1"/>
    <mergeCell ref="QJC1:QJF1"/>
    <mergeCell ref="QHK1:QHN1"/>
    <mergeCell ref="QHO1:QHR1"/>
    <mergeCell ref="QHS1:QHV1"/>
    <mergeCell ref="QHW1:QHZ1"/>
    <mergeCell ref="QIA1:QID1"/>
    <mergeCell ref="QIE1:QIH1"/>
    <mergeCell ref="QGM1:QGP1"/>
    <mergeCell ref="QGQ1:QGT1"/>
    <mergeCell ref="QGU1:QGX1"/>
    <mergeCell ref="QGY1:QHB1"/>
    <mergeCell ref="QHC1:QHF1"/>
    <mergeCell ref="QHG1:QHJ1"/>
    <mergeCell ref="QFO1:QFR1"/>
    <mergeCell ref="QFS1:QFV1"/>
    <mergeCell ref="QFW1:QFZ1"/>
    <mergeCell ref="QGA1:QGD1"/>
    <mergeCell ref="QGE1:QGH1"/>
    <mergeCell ref="QGI1:QGL1"/>
    <mergeCell ref="QEQ1:QET1"/>
    <mergeCell ref="QEU1:QEX1"/>
    <mergeCell ref="QEY1:QFB1"/>
    <mergeCell ref="QFC1:QFF1"/>
    <mergeCell ref="QFG1:QFJ1"/>
    <mergeCell ref="QFK1:QFN1"/>
    <mergeCell ref="QDS1:QDV1"/>
    <mergeCell ref="QDW1:QDZ1"/>
    <mergeCell ref="QEA1:QED1"/>
    <mergeCell ref="QEE1:QEH1"/>
    <mergeCell ref="QEI1:QEL1"/>
    <mergeCell ref="QEM1:QEP1"/>
    <mergeCell ref="QCU1:QCX1"/>
    <mergeCell ref="QCY1:QDB1"/>
    <mergeCell ref="QDC1:QDF1"/>
    <mergeCell ref="QDG1:QDJ1"/>
    <mergeCell ref="QDK1:QDN1"/>
    <mergeCell ref="QDO1:QDR1"/>
    <mergeCell ref="QBW1:QBZ1"/>
    <mergeCell ref="QCA1:QCD1"/>
    <mergeCell ref="QCE1:QCH1"/>
    <mergeCell ref="QCI1:QCL1"/>
    <mergeCell ref="QCM1:QCP1"/>
    <mergeCell ref="QCQ1:QCT1"/>
    <mergeCell ref="QAY1:QBB1"/>
    <mergeCell ref="QBC1:QBF1"/>
    <mergeCell ref="QBG1:QBJ1"/>
    <mergeCell ref="QBK1:QBN1"/>
    <mergeCell ref="QBO1:QBR1"/>
    <mergeCell ref="QBS1:QBV1"/>
    <mergeCell ref="QAA1:QAD1"/>
    <mergeCell ref="QAE1:QAH1"/>
    <mergeCell ref="QAI1:QAL1"/>
    <mergeCell ref="QAM1:QAP1"/>
    <mergeCell ref="QAQ1:QAT1"/>
    <mergeCell ref="QAU1:QAX1"/>
    <mergeCell ref="PZC1:PZF1"/>
    <mergeCell ref="PZG1:PZJ1"/>
    <mergeCell ref="PZK1:PZN1"/>
    <mergeCell ref="PZO1:PZR1"/>
    <mergeCell ref="PZS1:PZV1"/>
    <mergeCell ref="PZW1:PZZ1"/>
    <mergeCell ref="PYE1:PYH1"/>
    <mergeCell ref="PYI1:PYL1"/>
    <mergeCell ref="PYM1:PYP1"/>
    <mergeCell ref="PYQ1:PYT1"/>
    <mergeCell ref="PYU1:PYX1"/>
    <mergeCell ref="PYY1:PZB1"/>
    <mergeCell ref="PXG1:PXJ1"/>
    <mergeCell ref="PXK1:PXN1"/>
    <mergeCell ref="PXO1:PXR1"/>
    <mergeCell ref="PXS1:PXV1"/>
    <mergeCell ref="PXW1:PXZ1"/>
    <mergeCell ref="PYA1:PYD1"/>
    <mergeCell ref="PWI1:PWL1"/>
    <mergeCell ref="PWM1:PWP1"/>
    <mergeCell ref="PWQ1:PWT1"/>
    <mergeCell ref="PWU1:PWX1"/>
    <mergeCell ref="PWY1:PXB1"/>
    <mergeCell ref="PXC1:PXF1"/>
    <mergeCell ref="PVK1:PVN1"/>
    <mergeCell ref="PVO1:PVR1"/>
    <mergeCell ref="PVS1:PVV1"/>
    <mergeCell ref="PVW1:PVZ1"/>
    <mergeCell ref="PWA1:PWD1"/>
    <mergeCell ref="PWE1:PWH1"/>
    <mergeCell ref="PUM1:PUP1"/>
    <mergeCell ref="PUQ1:PUT1"/>
    <mergeCell ref="PUU1:PUX1"/>
    <mergeCell ref="PUY1:PVB1"/>
    <mergeCell ref="PVC1:PVF1"/>
    <mergeCell ref="PVG1:PVJ1"/>
    <mergeCell ref="PTO1:PTR1"/>
    <mergeCell ref="PTS1:PTV1"/>
    <mergeCell ref="PTW1:PTZ1"/>
    <mergeCell ref="PUA1:PUD1"/>
    <mergeCell ref="PUE1:PUH1"/>
    <mergeCell ref="PUI1:PUL1"/>
    <mergeCell ref="PSQ1:PST1"/>
    <mergeCell ref="PSU1:PSX1"/>
    <mergeCell ref="PSY1:PTB1"/>
    <mergeCell ref="PTC1:PTF1"/>
    <mergeCell ref="PTG1:PTJ1"/>
    <mergeCell ref="PTK1:PTN1"/>
    <mergeCell ref="PRS1:PRV1"/>
    <mergeCell ref="PRW1:PRZ1"/>
    <mergeCell ref="PSA1:PSD1"/>
    <mergeCell ref="PSE1:PSH1"/>
    <mergeCell ref="PSI1:PSL1"/>
    <mergeCell ref="PSM1:PSP1"/>
    <mergeCell ref="PQU1:PQX1"/>
    <mergeCell ref="PQY1:PRB1"/>
    <mergeCell ref="PRC1:PRF1"/>
    <mergeCell ref="PRG1:PRJ1"/>
    <mergeCell ref="PRK1:PRN1"/>
    <mergeCell ref="PRO1:PRR1"/>
    <mergeCell ref="PPW1:PPZ1"/>
    <mergeCell ref="PQA1:PQD1"/>
    <mergeCell ref="PQE1:PQH1"/>
    <mergeCell ref="PQI1:PQL1"/>
    <mergeCell ref="PQM1:PQP1"/>
    <mergeCell ref="PQQ1:PQT1"/>
    <mergeCell ref="POY1:PPB1"/>
    <mergeCell ref="PPC1:PPF1"/>
    <mergeCell ref="PPG1:PPJ1"/>
    <mergeCell ref="PPK1:PPN1"/>
    <mergeCell ref="PPO1:PPR1"/>
    <mergeCell ref="PPS1:PPV1"/>
    <mergeCell ref="POA1:POD1"/>
    <mergeCell ref="POE1:POH1"/>
    <mergeCell ref="POI1:POL1"/>
    <mergeCell ref="POM1:POP1"/>
    <mergeCell ref="POQ1:POT1"/>
    <mergeCell ref="POU1:POX1"/>
    <mergeCell ref="PNC1:PNF1"/>
    <mergeCell ref="PNG1:PNJ1"/>
    <mergeCell ref="PNK1:PNN1"/>
    <mergeCell ref="PNO1:PNR1"/>
    <mergeCell ref="PNS1:PNV1"/>
    <mergeCell ref="PNW1:PNZ1"/>
    <mergeCell ref="PME1:PMH1"/>
    <mergeCell ref="PMI1:PML1"/>
    <mergeCell ref="PMM1:PMP1"/>
    <mergeCell ref="PMQ1:PMT1"/>
    <mergeCell ref="PMU1:PMX1"/>
    <mergeCell ref="PMY1:PNB1"/>
    <mergeCell ref="PLG1:PLJ1"/>
    <mergeCell ref="PLK1:PLN1"/>
    <mergeCell ref="PLO1:PLR1"/>
    <mergeCell ref="PLS1:PLV1"/>
    <mergeCell ref="PLW1:PLZ1"/>
    <mergeCell ref="PMA1:PMD1"/>
    <mergeCell ref="PKI1:PKL1"/>
    <mergeCell ref="PKM1:PKP1"/>
    <mergeCell ref="PKQ1:PKT1"/>
    <mergeCell ref="PKU1:PKX1"/>
    <mergeCell ref="PKY1:PLB1"/>
    <mergeCell ref="PLC1:PLF1"/>
    <mergeCell ref="PJK1:PJN1"/>
    <mergeCell ref="PJO1:PJR1"/>
    <mergeCell ref="PJS1:PJV1"/>
    <mergeCell ref="PJW1:PJZ1"/>
    <mergeCell ref="PKA1:PKD1"/>
    <mergeCell ref="PKE1:PKH1"/>
    <mergeCell ref="PIM1:PIP1"/>
    <mergeCell ref="PIQ1:PIT1"/>
    <mergeCell ref="PIU1:PIX1"/>
    <mergeCell ref="PIY1:PJB1"/>
    <mergeCell ref="PJC1:PJF1"/>
    <mergeCell ref="PJG1:PJJ1"/>
    <mergeCell ref="PHO1:PHR1"/>
    <mergeCell ref="PHS1:PHV1"/>
    <mergeCell ref="PHW1:PHZ1"/>
    <mergeCell ref="PIA1:PID1"/>
    <mergeCell ref="PIE1:PIH1"/>
    <mergeCell ref="PII1:PIL1"/>
    <mergeCell ref="PGQ1:PGT1"/>
    <mergeCell ref="PGU1:PGX1"/>
    <mergeCell ref="PGY1:PHB1"/>
    <mergeCell ref="PHC1:PHF1"/>
    <mergeCell ref="PHG1:PHJ1"/>
    <mergeCell ref="PHK1:PHN1"/>
    <mergeCell ref="PFS1:PFV1"/>
    <mergeCell ref="PFW1:PFZ1"/>
    <mergeCell ref="PGA1:PGD1"/>
    <mergeCell ref="PGE1:PGH1"/>
    <mergeCell ref="PGI1:PGL1"/>
    <mergeCell ref="PGM1:PGP1"/>
    <mergeCell ref="PEU1:PEX1"/>
    <mergeCell ref="PEY1:PFB1"/>
    <mergeCell ref="PFC1:PFF1"/>
    <mergeCell ref="PFG1:PFJ1"/>
    <mergeCell ref="PFK1:PFN1"/>
    <mergeCell ref="PFO1:PFR1"/>
    <mergeCell ref="PDW1:PDZ1"/>
    <mergeCell ref="PEA1:PED1"/>
    <mergeCell ref="PEE1:PEH1"/>
    <mergeCell ref="PEI1:PEL1"/>
    <mergeCell ref="PEM1:PEP1"/>
    <mergeCell ref="PEQ1:PET1"/>
    <mergeCell ref="PCY1:PDB1"/>
    <mergeCell ref="PDC1:PDF1"/>
    <mergeCell ref="PDG1:PDJ1"/>
    <mergeCell ref="PDK1:PDN1"/>
    <mergeCell ref="PDO1:PDR1"/>
    <mergeCell ref="PDS1:PDV1"/>
    <mergeCell ref="PCA1:PCD1"/>
    <mergeCell ref="PCE1:PCH1"/>
    <mergeCell ref="PCI1:PCL1"/>
    <mergeCell ref="PCM1:PCP1"/>
    <mergeCell ref="PCQ1:PCT1"/>
    <mergeCell ref="PCU1:PCX1"/>
    <mergeCell ref="PBC1:PBF1"/>
    <mergeCell ref="PBG1:PBJ1"/>
    <mergeCell ref="PBK1:PBN1"/>
    <mergeCell ref="PBO1:PBR1"/>
    <mergeCell ref="PBS1:PBV1"/>
    <mergeCell ref="PBW1:PBZ1"/>
    <mergeCell ref="PAE1:PAH1"/>
    <mergeCell ref="PAI1:PAL1"/>
    <mergeCell ref="PAM1:PAP1"/>
    <mergeCell ref="PAQ1:PAT1"/>
    <mergeCell ref="PAU1:PAX1"/>
    <mergeCell ref="PAY1:PBB1"/>
    <mergeCell ref="OZG1:OZJ1"/>
    <mergeCell ref="OZK1:OZN1"/>
    <mergeCell ref="OZO1:OZR1"/>
    <mergeCell ref="OZS1:OZV1"/>
    <mergeCell ref="OZW1:OZZ1"/>
    <mergeCell ref="PAA1:PAD1"/>
    <mergeCell ref="OYI1:OYL1"/>
    <mergeCell ref="OYM1:OYP1"/>
    <mergeCell ref="OYQ1:OYT1"/>
    <mergeCell ref="OYU1:OYX1"/>
    <mergeCell ref="OYY1:OZB1"/>
    <mergeCell ref="OZC1:OZF1"/>
    <mergeCell ref="OXK1:OXN1"/>
    <mergeCell ref="OXO1:OXR1"/>
    <mergeCell ref="OXS1:OXV1"/>
    <mergeCell ref="OXW1:OXZ1"/>
    <mergeCell ref="OYA1:OYD1"/>
    <mergeCell ref="OYE1:OYH1"/>
    <mergeCell ref="OWM1:OWP1"/>
    <mergeCell ref="OWQ1:OWT1"/>
    <mergeCell ref="OWU1:OWX1"/>
    <mergeCell ref="OWY1:OXB1"/>
    <mergeCell ref="OXC1:OXF1"/>
    <mergeCell ref="OXG1:OXJ1"/>
    <mergeCell ref="OVO1:OVR1"/>
    <mergeCell ref="OVS1:OVV1"/>
    <mergeCell ref="OVW1:OVZ1"/>
    <mergeCell ref="OWA1:OWD1"/>
    <mergeCell ref="OWE1:OWH1"/>
    <mergeCell ref="OWI1:OWL1"/>
    <mergeCell ref="OUQ1:OUT1"/>
    <mergeCell ref="OUU1:OUX1"/>
    <mergeCell ref="OUY1:OVB1"/>
    <mergeCell ref="OVC1:OVF1"/>
    <mergeCell ref="OVG1:OVJ1"/>
    <mergeCell ref="OVK1:OVN1"/>
    <mergeCell ref="OTS1:OTV1"/>
    <mergeCell ref="OTW1:OTZ1"/>
    <mergeCell ref="OUA1:OUD1"/>
    <mergeCell ref="OUE1:OUH1"/>
    <mergeCell ref="OUI1:OUL1"/>
    <mergeCell ref="OUM1:OUP1"/>
    <mergeCell ref="OSU1:OSX1"/>
    <mergeCell ref="OSY1:OTB1"/>
    <mergeCell ref="OTC1:OTF1"/>
    <mergeCell ref="OTG1:OTJ1"/>
    <mergeCell ref="OTK1:OTN1"/>
    <mergeCell ref="OTO1:OTR1"/>
    <mergeCell ref="ORW1:ORZ1"/>
    <mergeCell ref="OSA1:OSD1"/>
    <mergeCell ref="OSE1:OSH1"/>
    <mergeCell ref="OSI1:OSL1"/>
    <mergeCell ref="OSM1:OSP1"/>
    <mergeCell ref="OSQ1:OST1"/>
    <mergeCell ref="OQY1:ORB1"/>
    <mergeCell ref="ORC1:ORF1"/>
    <mergeCell ref="ORG1:ORJ1"/>
    <mergeCell ref="ORK1:ORN1"/>
    <mergeCell ref="ORO1:ORR1"/>
    <mergeCell ref="ORS1:ORV1"/>
    <mergeCell ref="OQA1:OQD1"/>
    <mergeCell ref="OQE1:OQH1"/>
    <mergeCell ref="OQI1:OQL1"/>
    <mergeCell ref="OQM1:OQP1"/>
    <mergeCell ref="OQQ1:OQT1"/>
    <mergeCell ref="OQU1:OQX1"/>
    <mergeCell ref="OPC1:OPF1"/>
    <mergeCell ref="OPG1:OPJ1"/>
    <mergeCell ref="OPK1:OPN1"/>
    <mergeCell ref="OPO1:OPR1"/>
    <mergeCell ref="OPS1:OPV1"/>
    <mergeCell ref="OPW1:OPZ1"/>
    <mergeCell ref="OOE1:OOH1"/>
    <mergeCell ref="OOI1:OOL1"/>
    <mergeCell ref="OOM1:OOP1"/>
    <mergeCell ref="OOQ1:OOT1"/>
    <mergeCell ref="OOU1:OOX1"/>
    <mergeCell ref="OOY1:OPB1"/>
    <mergeCell ref="ONG1:ONJ1"/>
    <mergeCell ref="ONK1:ONN1"/>
    <mergeCell ref="ONO1:ONR1"/>
    <mergeCell ref="ONS1:ONV1"/>
    <mergeCell ref="ONW1:ONZ1"/>
    <mergeCell ref="OOA1:OOD1"/>
    <mergeCell ref="OMI1:OML1"/>
    <mergeCell ref="OMM1:OMP1"/>
    <mergeCell ref="OMQ1:OMT1"/>
    <mergeCell ref="OMU1:OMX1"/>
    <mergeCell ref="OMY1:ONB1"/>
    <mergeCell ref="ONC1:ONF1"/>
    <mergeCell ref="OLK1:OLN1"/>
    <mergeCell ref="OLO1:OLR1"/>
    <mergeCell ref="OLS1:OLV1"/>
    <mergeCell ref="OLW1:OLZ1"/>
    <mergeCell ref="OMA1:OMD1"/>
    <mergeCell ref="OME1:OMH1"/>
    <mergeCell ref="OKM1:OKP1"/>
    <mergeCell ref="OKQ1:OKT1"/>
    <mergeCell ref="OKU1:OKX1"/>
    <mergeCell ref="OKY1:OLB1"/>
    <mergeCell ref="OLC1:OLF1"/>
    <mergeCell ref="OLG1:OLJ1"/>
    <mergeCell ref="OJO1:OJR1"/>
    <mergeCell ref="OJS1:OJV1"/>
    <mergeCell ref="OJW1:OJZ1"/>
    <mergeCell ref="OKA1:OKD1"/>
    <mergeCell ref="OKE1:OKH1"/>
    <mergeCell ref="OKI1:OKL1"/>
    <mergeCell ref="OIQ1:OIT1"/>
    <mergeCell ref="OIU1:OIX1"/>
    <mergeCell ref="OIY1:OJB1"/>
    <mergeCell ref="OJC1:OJF1"/>
    <mergeCell ref="OJG1:OJJ1"/>
    <mergeCell ref="OJK1:OJN1"/>
    <mergeCell ref="OHS1:OHV1"/>
    <mergeCell ref="OHW1:OHZ1"/>
    <mergeCell ref="OIA1:OID1"/>
    <mergeCell ref="OIE1:OIH1"/>
    <mergeCell ref="OII1:OIL1"/>
    <mergeCell ref="OIM1:OIP1"/>
    <mergeCell ref="OGU1:OGX1"/>
    <mergeCell ref="OGY1:OHB1"/>
    <mergeCell ref="OHC1:OHF1"/>
    <mergeCell ref="OHG1:OHJ1"/>
    <mergeCell ref="OHK1:OHN1"/>
    <mergeCell ref="OHO1:OHR1"/>
    <mergeCell ref="OFW1:OFZ1"/>
    <mergeCell ref="OGA1:OGD1"/>
    <mergeCell ref="OGE1:OGH1"/>
    <mergeCell ref="OGI1:OGL1"/>
    <mergeCell ref="OGM1:OGP1"/>
    <mergeCell ref="OGQ1:OGT1"/>
    <mergeCell ref="OEY1:OFB1"/>
    <mergeCell ref="OFC1:OFF1"/>
    <mergeCell ref="OFG1:OFJ1"/>
    <mergeCell ref="OFK1:OFN1"/>
    <mergeCell ref="OFO1:OFR1"/>
    <mergeCell ref="OFS1:OFV1"/>
    <mergeCell ref="OEA1:OED1"/>
    <mergeCell ref="OEE1:OEH1"/>
    <mergeCell ref="OEI1:OEL1"/>
    <mergeCell ref="OEM1:OEP1"/>
    <mergeCell ref="OEQ1:OET1"/>
    <mergeCell ref="OEU1:OEX1"/>
    <mergeCell ref="ODC1:ODF1"/>
    <mergeCell ref="ODG1:ODJ1"/>
    <mergeCell ref="ODK1:ODN1"/>
    <mergeCell ref="ODO1:ODR1"/>
    <mergeCell ref="ODS1:ODV1"/>
    <mergeCell ref="ODW1:ODZ1"/>
    <mergeCell ref="OCE1:OCH1"/>
    <mergeCell ref="OCI1:OCL1"/>
    <mergeCell ref="OCM1:OCP1"/>
    <mergeCell ref="OCQ1:OCT1"/>
    <mergeCell ref="OCU1:OCX1"/>
    <mergeCell ref="OCY1:ODB1"/>
    <mergeCell ref="OBG1:OBJ1"/>
    <mergeCell ref="OBK1:OBN1"/>
    <mergeCell ref="OBO1:OBR1"/>
    <mergeCell ref="OBS1:OBV1"/>
    <mergeCell ref="OBW1:OBZ1"/>
    <mergeCell ref="OCA1:OCD1"/>
    <mergeCell ref="OAI1:OAL1"/>
    <mergeCell ref="OAM1:OAP1"/>
    <mergeCell ref="OAQ1:OAT1"/>
    <mergeCell ref="OAU1:OAX1"/>
    <mergeCell ref="OAY1:OBB1"/>
    <mergeCell ref="OBC1:OBF1"/>
    <mergeCell ref="NZK1:NZN1"/>
    <mergeCell ref="NZO1:NZR1"/>
    <mergeCell ref="NZS1:NZV1"/>
    <mergeCell ref="NZW1:NZZ1"/>
    <mergeCell ref="OAA1:OAD1"/>
    <mergeCell ref="OAE1:OAH1"/>
    <mergeCell ref="NYM1:NYP1"/>
    <mergeCell ref="NYQ1:NYT1"/>
    <mergeCell ref="NYU1:NYX1"/>
    <mergeCell ref="NYY1:NZB1"/>
    <mergeCell ref="NZC1:NZF1"/>
    <mergeCell ref="NZG1:NZJ1"/>
    <mergeCell ref="NXO1:NXR1"/>
    <mergeCell ref="NXS1:NXV1"/>
    <mergeCell ref="NXW1:NXZ1"/>
    <mergeCell ref="NYA1:NYD1"/>
    <mergeCell ref="NYE1:NYH1"/>
    <mergeCell ref="NYI1:NYL1"/>
    <mergeCell ref="NWQ1:NWT1"/>
    <mergeCell ref="NWU1:NWX1"/>
    <mergeCell ref="NWY1:NXB1"/>
    <mergeCell ref="NXC1:NXF1"/>
    <mergeCell ref="NXG1:NXJ1"/>
    <mergeCell ref="NXK1:NXN1"/>
    <mergeCell ref="NVS1:NVV1"/>
    <mergeCell ref="NVW1:NVZ1"/>
    <mergeCell ref="NWA1:NWD1"/>
    <mergeCell ref="NWE1:NWH1"/>
    <mergeCell ref="NWI1:NWL1"/>
    <mergeCell ref="NWM1:NWP1"/>
    <mergeCell ref="NUU1:NUX1"/>
    <mergeCell ref="NUY1:NVB1"/>
    <mergeCell ref="NVC1:NVF1"/>
    <mergeCell ref="NVG1:NVJ1"/>
    <mergeCell ref="NVK1:NVN1"/>
    <mergeCell ref="NVO1:NVR1"/>
    <mergeCell ref="NTW1:NTZ1"/>
    <mergeCell ref="NUA1:NUD1"/>
    <mergeCell ref="NUE1:NUH1"/>
    <mergeCell ref="NUI1:NUL1"/>
    <mergeCell ref="NUM1:NUP1"/>
    <mergeCell ref="NUQ1:NUT1"/>
    <mergeCell ref="NSY1:NTB1"/>
    <mergeCell ref="NTC1:NTF1"/>
    <mergeCell ref="NTG1:NTJ1"/>
    <mergeCell ref="NTK1:NTN1"/>
    <mergeCell ref="NTO1:NTR1"/>
    <mergeCell ref="NTS1:NTV1"/>
    <mergeCell ref="NSA1:NSD1"/>
    <mergeCell ref="NSE1:NSH1"/>
    <mergeCell ref="NSI1:NSL1"/>
    <mergeCell ref="NSM1:NSP1"/>
    <mergeCell ref="NSQ1:NST1"/>
    <mergeCell ref="NSU1:NSX1"/>
    <mergeCell ref="NRC1:NRF1"/>
    <mergeCell ref="NRG1:NRJ1"/>
    <mergeCell ref="NRK1:NRN1"/>
    <mergeCell ref="NRO1:NRR1"/>
    <mergeCell ref="NRS1:NRV1"/>
    <mergeCell ref="NRW1:NRZ1"/>
    <mergeCell ref="NQE1:NQH1"/>
    <mergeCell ref="NQI1:NQL1"/>
    <mergeCell ref="NQM1:NQP1"/>
    <mergeCell ref="NQQ1:NQT1"/>
    <mergeCell ref="NQU1:NQX1"/>
    <mergeCell ref="NQY1:NRB1"/>
    <mergeCell ref="NPG1:NPJ1"/>
    <mergeCell ref="NPK1:NPN1"/>
    <mergeCell ref="NPO1:NPR1"/>
    <mergeCell ref="NPS1:NPV1"/>
    <mergeCell ref="NPW1:NPZ1"/>
    <mergeCell ref="NQA1:NQD1"/>
    <mergeCell ref="NOI1:NOL1"/>
    <mergeCell ref="NOM1:NOP1"/>
    <mergeCell ref="NOQ1:NOT1"/>
    <mergeCell ref="NOU1:NOX1"/>
    <mergeCell ref="NOY1:NPB1"/>
    <mergeCell ref="NPC1:NPF1"/>
    <mergeCell ref="NNK1:NNN1"/>
    <mergeCell ref="NNO1:NNR1"/>
    <mergeCell ref="NNS1:NNV1"/>
    <mergeCell ref="NNW1:NNZ1"/>
    <mergeCell ref="NOA1:NOD1"/>
    <mergeCell ref="NOE1:NOH1"/>
    <mergeCell ref="NMM1:NMP1"/>
    <mergeCell ref="NMQ1:NMT1"/>
    <mergeCell ref="NMU1:NMX1"/>
    <mergeCell ref="NMY1:NNB1"/>
    <mergeCell ref="NNC1:NNF1"/>
    <mergeCell ref="NNG1:NNJ1"/>
    <mergeCell ref="NLO1:NLR1"/>
    <mergeCell ref="NLS1:NLV1"/>
    <mergeCell ref="NLW1:NLZ1"/>
    <mergeCell ref="NMA1:NMD1"/>
    <mergeCell ref="NME1:NMH1"/>
    <mergeCell ref="NMI1:NML1"/>
    <mergeCell ref="NKQ1:NKT1"/>
    <mergeCell ref="NKU1:NKX1"/>
    <mergeCell ref="NKY1:NLB1"/>
    <mergeCell ref="NLC1:NLF1"/>
    <mergeCell ref="NLG1:NLJ1"/>
    <mergeCell ref="NLK1:NLN1"/>
    <mergeCell ref="NJS1:NJV1"/>
    <mergeCell ref="NJW1:NJZ1"/>
    <mergeCell ref="NKA1:NKD1"/>
    <mergeCell ref="NKE1:NKH1"/>
    <mergeCell ref="NKI1:NKL1"/>
    <mergeCell ref="NKM1:NKP1"/>
    <mergeCell ref="NIU1:NIX1"/>
    <mergeCell ref="NIY1:NJB1"/>
    <mergeCell ref="NJC1:NJF1"/>
    <mergeCell ref="NJG1:NJJ1"/>
    <mergeCell ref="NJK1:NJN1"/>
    <mergeCell ref="NJO1:NJR1"/>
    <mergeCell ref="NHW1:NHZ1"/>
    <mergeCell ref="NIA1:NID1"/>
    <mergeCell ref="NIE1:NIH1"/>
    <mergeCell ref="NII1:NIL1"/>
    <mergeCell ref="NIM1:NIP1"/>
    <mergeCell ref="NIQ1:NIT1"/>
    <mergeCell ref="NGY1:NHB1"/>
    <mergeCell ref="NHC1:NHF1"/>
    <mergeCell ref="NHG1:NHJ1"/>
    <mergeCell ref="NHK1:NHN1"/>
    <mergeCell ref="NHO1:NHR1"/>
    <mergeCell ref="NHS1:NHV1"/>
    <mergeCell ref="NGA1:NGD1"/>
    <mergeCell ref="NGE1:NGH1"/>
    <mergeCell ref="NGI1:NGL1"/>
    <mergeCell ref="NGM1:NGP1"/>
    <mergeCell ref="NGQ1:NGT1"/>
    <mergeCell ref="NGU1:NGX1"/>
    <mergeCell ref="NFC1:NFF1"/>
    <mergeCell ref="NFG1:NFJ1"/>
    <mergeCell ref="NFK1:NFN1"/>
    <mergeCell ref="NFO1:NFR1"/>
    <mergeCell ref="NFS1:NFV1"/>
    <mergeCell ref="NFW1:NFZ1"/>
    <mergeCell ref="NEE1:NEH1"/>
    <mergeCell ref="NEI1:NEL1"/>
    <mergeCell ref="NEM1:NEP1"/>
    <mergeCell ref="NEQ1:NET1"/>
    <mergeCell ref="NEU1:NEX1"/>
    <mergeCell ref="NEY1:NFB1"/>
    <mergeCell ref="NDG1:NDJ1"/>
    <mergeCell ref="NDK1:NDN1"/>
    <mergeCell ref="NDO1:NDR1"/>
    <mergeCell ref="NDS1:NDV1"/>
    <mergeCell ref="NDW1:NDZ1"/>
    <mergeCell ref="NEA1:NED1"/>
    <mergeCell ref="NCI1:NCL1"/>
    <mergeCell ref="NCM1:NCP1"/>
    <mergeCell ref="NCQ1:NCT1"/>
    <mergeCell ref="NCU1:NCX1"/>
    <mergeCell ref="NCY1:NDB1"/>
    <mergeCell ref="NDC1:NDF1"/>
    <mergeCell ref="NBK1:NBN1"/>
    <mergeCell ref="NBO1:NBR1"/>
    <mergeCell ref="NBS1:NBV1"/>
    <mergeCell ref="NBW1:NBZ1"/>
    <mergeCell ref="NCA1:NCD1"/>
    <mergeCell ref="NCE1:NCH1"/>
    <mergeCell ref="NAM1:NAP1"/>
    <mergeCell ref="NAQ1:NAT1"/>
    <mergeCell ref="NAU1:NAX1"/>
    <mergeCell ref="NAY1:NBB1"/>
    <mergeCell ref="NBC1:NBF1"/>
    <mergeCell ref="NBG1:NBJ1"/>
    <mergeCell ref="MZO1:MZR1"/>
    <mergeCell ref="MZS1:MZV1"/>
    <mergeCell ref="MZW1:MZZ1"/>
    <mergeCell ref="NAA1:NAD1"/>
    <mergeCell ref="NAE1:NAH1"/>
    <mergeCell ref="NAI1:NAL1"/>
    <mergeCell ref="MYQ1:MYT1"/>
    <mergeCell ref="MYU1:MYX1"/>
    <mergeCell ref="MYY1:MZB1"/>
    <mergeCell ref="MZC1:MZF1"/>
    <mergeCell ref="MZG1:MZJ1"/>
    <mergeCell ref="MZK1:MZN1"/>
    <mergeCell ref="MXS1:MXV1"/>
    <mergeCell ref="MXW1:MXZ1"/>
    <mergeCell ref="MYA1:MYD1"/>
    <mergeCell ref="MYE1:MYH1"/>
    <mergeCell ref="MYI1:MYL1"/>
    <mergeCell ref="MYM1:MYP1"/>
    <mergeCell ref="MWU1:MWX1"/>
    <mergeCell ref="MWY1:MXB1"/>
    <mergeCell ref="MXC1:MXF1"/>
    <mergeCell ref="MXG1:MXJ1"/>
    <mergeCell ref="MXK1:MXN1"/>
    <mergeCell ref="MXO1:MXR1"/>
    <mergeCell ref="MVW1:MVZ1"/>
    <mergeCell ref="MWA1:MWD1"/>
    <mergeCell ref="MWE1:MWH1"/>
    <mergeCell ref="MWI1:MWL1"/>
    <mergeCell ref="MWM1:MWP1"/>
    <mergeCell ref="MWQ1:MWT1"/>
    <mergeCell ref="MUY1:MVB1"/>
    <mergeCell ref="MVC1:MVF1"/>
    <mergeCell ref="MVG1:MVJ1"/>
    <mergeCell ref="MVK1:MVN1"/>
    <mergeCell ref="MVO1:MVR1"/>
    <mergeCell ref="MVS1:MVV1"/>
    <mergeCell ref="MUA1:MUD1"/>
    <mergeCell ref="MUE1:MUH1"/>
    <mergeCell ref="MUI1:MUL1"/>
    <mergeCell ref="MUM1:MUP1"/>
    <mergeCell ref="MUQ1:MUT1"/>
    <mergeCell ref="MUU1:MUX1"/>
    <mergeCell ref="MTC1:MTF1"/>
    <mergeCell ref="MTG1:MTJ1"/>
    <mergeCell ref="MTK1:MTN1"/>
    <mergeCell ref="MTO1:MTR1"/>
    <mergeCell ref="MTS1:MTV1"/>
    <mergeCell ref="MTW1:MTZ1"/>
    <mergeCell ref="MSE1:MSH1"/>
    <mergeCell ref="MSI1:MSL1"/>
    <mergeCell ref="MSM1:MSP1"/>
    <mergeCell ref="MSQ1:MST1"/>
    <mergeCell ref="MSU1:MSX1"/>
    <mergeCell ref="MSY1:MTB1"/>
    <mergeCell ref="MRG1:MRJ1"/>
    <mergeCell ref="MRK1:MRN1"/>
    <mergeCell ref="MRO1:MRR1"/>
    <mergeCell ref="MRS1:MRV1"/>
    <mergeCell ref="MRW1:MRZ1"/>
    <mergeCell ref="MSA1:MSD1"/>
    <mergeCell ref="MQI1:MQL1"/>
    <mergeCell ref="MQM1:MQP1"/>
    <mergeCell ref="MQQ1:MQT1"/>
    <mergeCell ref="MQU1:MQX1"/>
    <mergeCell ref="MQY1:MRB1"/>
    <mergeCell ref="MRC1:MRF1"/>
    <mergeCell ref="MPK1:MPN1"/>
    <mergeCell ref="MPO1:MPR1"/>
    <mergeCell ref="MPS1:MPV1"/>
    <mergeCell ref="MPW1:MPZ1"/>
    <mergeCell ref="MQA1:MQD1"/>
    <mergeCell ref="MQE1:MQH1"/>
    <mergeCell ref="MOM1:MOP1"/>
    <mergeCell ref="MOQ1:MOT1"/>
    <mergeCell ref="MOU1:MOX1"/>
    <mergeCell ref="MOY1:MPB1"/>
    <mergeCell ref="MPC1:MPF1"/>
    <mergeCell ref="MPG1:MPJ1"/>
    <mergeCell ref="MNO1:MNR1"/>
    <mergeCell ref="MNS1:MNV1"/>
    <mergeCell ref="MNW1:MNZ1"/>
    <mergeCell ref="MOA1:MOD1"/>
    <mergeCell ref="MOE1:MOH1"/>
    <mergeCell ref="MOI1:MOL1"/>
    <mergeCell ref="MMQ1:MMT1"/>
    <mergeCell ref="MMU1:MMX1"/>
    <mergeCell ref="MMY1:MNB1"/>
    <mergeCell ref="MNC1:MNF1"/>
    <mergeCell ref="MNG1:MNJ1"/>
    <mergeCell ref="MNK1:MNN1"/>
    <mergeCell ref="MLS1:MLV1"/>
    <mergeCell ref="MLW1:MLZ1"/>
    <mergeCell ref="MMA1:MMD1"/>
    <mergeCell ref="MME1:MMH1"/>
    <mergeCell ref="MMI1:MML1"/>
    <mergeCell ref="MMM1:MMP1"/>
    <mergeCell ref="MKU1:MKX1"/>
    <mergeCell ref="MKY1:MLB1"/>
    <mergeCell ref="MLC1:MLF1"/>
    <mergeCell ref="MLG1:MLJ1"/>
    <mergeCell ref="MLK1:MLN1"/>
    <mergeCell ref="MLO1:MLR1"/>
    <mergeCell ref="MJW1:MJZ1"/>
    <mergeCell ref="MKA1:MKD1"/>
    <mergeCell ref="MKE1:MKH1"/>
    <mergeCell ref="MKI1:MKL1"/>
    <mergeCell ref="MKM1:MKP1"/>
    <mergeCell ref="MKQ1:MKT1"/>
    <mergeCell ref="MIY1:MJB1"/>
    <mergeCell ref="MJC1:MJF1"/>
    <mergeCell ref="MJG1:MJJ1"/>
    <mergeCell ref="MJK1:MJN1"/>
    <mergeCell ref="MJO1:MJR1"/>
    <mergeCell ref="MJS1:MJV1"/>
    <mergeCell ref="MIA1:MID1"/>
    <mergeCell ref="MIE1:MIH1"/>
    <mergeCell ref="MII1:MIL1"/>
    <mergeCell ref="MIM1:MIP1"/>
    <mergeCell ref="MIQ1:MIT1"/>
    <mergeCell ref="MIU1:MIX1"/>
    <mergeCell ref="MHC1:MHF1"/>
    <mergeCell ref="MHG1:MHJ1"/>
    <mergeCell ref="MHK1:MHN1"/>
    <mergeCell ref="MHO1:MHR1"/>
    <mergeCell ref="MHS1:MHV1"/>
    <mergeCell ref="MHW1:MHZ1"/>
    <mergeCell ref="MGE1:MGH1"/>
    <mergeCell ref="MGI1:MGL1"/>
    <mergeCell ref="MGM1:MGP1"/>
    <mergeCell ref="MGQ1:MGT1"/>
    <mergeCell ref="MGU1:MGX1"/>
    <mergeCell ref="MGY1:MHB1"/>
    <mergeCell ref="MFG1:MFJ1"/>
    <mergeCell ref="MFK1:MFN1"/>
    <mergeCell ref="MFO1:MFR1"/>
    <mergeCell ref="MFS1:MFV1"/>
    <mergeCell ref="MFW1:MFZ1"/>
    <mergeCell ref="MGA1:MGD1"/>
    <mergeCell ref="MEI1:MEL1"/>
    <mergeCell ref="MEM1:MEP1"/>
    <mergeCell ref="MEQ1:MET1"/>
    <mergeCell ref="MEU1:MEX1"/>
    <mergeCell ref="MEY1:MFB1"/>
    <mergeCell ref="MFC1:MFF1"/>
    <mergeCell ref="MDK1:MDN1"/>
    <mergeCell ref="MDO1:MDR1"/>
    <mergeCell ref="MDS1:MDV1"/>
    <mergeCell ref="MDW1:MDZ1"/>
    <mergeCell ref="MEA1:MED1"/>
    <mergeCell ref="MEE1:MEH1"/>
    <mergeCell ref="MCM1:MCP1"/>
    <mergeCell ref="MCQ1:MCT1"/>
    <mergeCell ref="MCU1:MCX1"/>
    <mergeCell ref="MCY1:MDB1"/>
    <mergeCell ref="MDC1:MDF1"/>
    <mergeCell ref="MDG1:MDJ1"/>
    <mergeCell ref="MBO1:MBR1"/>
    <mergeCell ref="MBS1:MBV1"/>
    <mergeCell ref="MBW1:MBZ1"/>
    <mergeCell ref="MCA1:MCD1"/>
    <mergeCell ref="MCE1:MCH1"/>
    <mergeCell ref="MCI1:MCL1"/>
    <mergeCell ref="MAQ1:MAT1"/>
    <mergeCell ref="MAU1:MAX1"/>
    <mergeCell ref="MAY1:MBB1"/>
    <mergeCell ref="MBC1:MBF1"/>
    <mergeCell ref="MBG1:MBJ1"/>
    <mergeCell ref="MBK1:MBN1"/>
    <mergeCell ref="LZS1:LZV1"/>
    <mergeCell ref="LZW1:LZZ1"/>
    <mergeCell ref="MAA1:MAD1"/>
    <mergeCell ref="MAE1:MAH1"/>
    <mergeCell ref="MAI1:MAL1"/>
    <mergeCell ref="MAM1:MAP1"/>
    <mergeCell ref="LYU1:LYX1"/>
    <mergeCell ref="LYY1:LZB1"/>
    <mergeCell ref="LZC1:LZF1"/>
    <mergeCell ref="LZG1:LZJ1"/>
    <mergeCell ref="LZK1:LZN1"/>
    <mergeCell ref="LZO1:LZR1"/>
    <mergeCell ref="LXW1:LXZ1"/>
    <mergeCell ref="LYA1:LYD1"/>
    <mergeCell ref="LYE1:LYH1"/>
    <mergeCell ref="LYI1:LYL1"/>
    <mergeCell ref="LYM1:LYP1"/>
    <mergeCell ref="LYQ1:LYT1"/>
    <mergeCell ref="LWY1:LXB1"/>
    <mergeCell ref="LXC1:LXF1"/>
    <mergeCell ref="LXG1:LXJ1"/>
    <mergeCell ref="LXK1:LXN1"/>
    <mergeCell ref="LXO1:LXR1"/>
    <mergeCell ref="LXS1:LXV1"/>
    <mergeCell ref="LWA1:LWD1"/>
    <mergeCell ref="LWE1:LWH1"/>
    <mergeCell ref="LWI1:LWL1"/>
    <mergeCell ref="LWM1:LWP1"/>
    <mergeCell ref="LWQ1:LWT1"/>
    <mergeCell ref="LWU1:LWX1"/>
    <mergeCell ref="LVC1:LVF1"/>
    <mergeCell ref="LVG1:LVJ1"/>
    <mergeCell ref="LVK1:LVN1"/>
    <mergeCell ref="LVO1:LVR1"/>
    <mergeCell ref="LVS1:LVV1"/>
    <mergeCell ref="LVW1:LVZ1"/>
    <mergeCell ref="LUE1:LUH1"/>
    <mergeCell ref="LUI1:LUL1"/>
    <mergeCell ref="LUM1:LUP1"/>
    <mergeCell ref="LUQ1:LUT1"/>
    <mergeCell ref="LUU1:LUX1"/>
    <mergeCell ref="LUY1:LVB1"/>
    <mergeCell ref="LTG1:LTJ1"/>
    <mergeCell ref="LTK1:LTN1"/>
    <mergeCell ref="LTO1:LTR1"/>
    <mergeCell ref="LTS1:LTV1"/>
    <mergeCell ref="LTW1:LTZ1"/>
    <mergeCell ref="LUA1:LUD1"/>
    <mergeCell ref="LSI1:LSL1"/>
    <mergeCell ref="LSM1:LSP1"/>
    <mergeCell ref="LSQ1:LST1"/>
    <mergeCell ref="LSU1:LSX1"/>
    <mergeCell ref="LSY1:LTB1"/>
    <mergeCell ref="LTC1:LTF1"/>
    <mergeCell ref="LRK1:LRN1"/>
    <mergeCell ref="LRO1:LRR1"/>
    <mergeCell ref="LRS1:LRV1"/>
    <mergeCell ref="LRW1:LRZ1"/>
    <mergeCell ref="LSA1:LSD1"/>
    <mergeCell ref="LSE1:LSH1"/>
    <mergeCell ref="LQM1:LQP1"/>
    <mergeCell ref="LQQ1:LQT1"/>
    <mergeCell ref="LQU1:LQX1"/>
    <mergeCell ref="LQY1:LRB1"/>
    <mergeCell ref="LRC1:LRF1"/>
    <mergeCell ref="LRG1:LRJ1"/>
    <mergeCell ref="LPO1:LPR1"/>
    <mergeCell ref="LPS1:LPV1"/>
    <mergeCell ref="LPW1:LPZ1"/>
    <mergeCell ref="LQA1:LQD1"/>
    <mergeCell ref="LQE1:LQH1"/>
    <mergeCell ref="LQI1:LQL1"/>
    <mergeCell ref="LOQ1:LOT1"/>
    <mergeCell ref="LOU1:LOX1"/>
    <mergeCell ref="LOY1:LPB1"/>
    <mergeCell ref="LPC1:LPF1"/>
    <mergeCell ref="LPG1:LPJ1"/>
    <mergeCell ref="LPK1:LPN1"/>
    <mergeCell ref="LNS1:LNV1"/>
    <mergeCell ref="LNW1:LNZ1"/>
    <mergeCell ref="LOA1:LOD1"/>
    <mergeCell ref="LOE1:LOH1"/>
    <mergeCell ref="LOI1:LOL1"/>
    <mergeCell ref="LOM1:LOP1"/>
    <mergeCell ref="LMU1:LMX1"/>
    <mergeCell ref="LMY1:LNB1"/>
    <mergeCell ref="LNC1:LNF1"/>
    <mergeCell ref="LNG1:LNJ1"/>
    <mergeCell ref="LNK1:LNN1"/>
    <mergeCell ref="LNO1:LNR1"/>
    <mergeCell ref="LLW1:LLZ1"/>
    <mergeCell ref="LMA1:LMD1"/>
    <mergeCell ref="LME1:LMH1"/>
    <mergeCell ref="LMI1:LML1"/>
    <mergeCell ref="LMM1:LMP1"/>
    <mergeCell ref="LMQ1:LMT1"/>
    <mergeCell ref="LKY1:LLB1"/>
    <mergeCell ref="LLC1:LLF1"/>
    <mergeCell ref="LLG1:LLJ1"/>
    <mergeCell ref="LLK1:LLN1"/>
    <mergeCell ref="LLO1:LLR1"/>
    <mergeCell ref="LLS1:LLV1"/>
    <mergeCell ref="LKA1:LKD1"/>
    <mergeCell ref="LKE1:LKH1"/>
    <mergeCell ref="LKI1:LKL1"/>
    <mergeCell ref="LKM1:LKP1"/>
    <mergeCell ref="LKQ1:LKT1"/>
    <mergeCell ref="LKU1:LKX1"/>
    <mergeCell ref="LJC1:LJF1"/>
    <mergeCell ref="LJG1:LJJ1"/>
    <mergeCell ref="LJK1:LJN1"/>
    <mergeCell ref="LJO1:LJR1"/>
    <mergeCell ref="LJS1:LJV1"/>
    <mergeCell ref="LJW1:LJZ1"/>
    <mergeCell ref="LIE1:LIH1"/>
    <mergeCell ref="LII1:LIL1"/>
    <mergeCell ref="LIM1:LIP1"/>
    <mergeCell ref="LIQ1:LIT1"/>
    <mergeCell ref="LIU1:LIX1"/>
    <mergeCell ref="LIY1:LJB1"/>
    <mergeCell ref="LHG1:LHJ1"/>
    <mergeCell ref="LHK1:LHN1"/>
    <mergeCell ref="LHO1:LHR1"/>
    <mergeCell ref="LHS1:LHV1"/>
    <mergeCell ref="LHW1:LHZ1"/>
    <mergeCell ref="LIA1:LID1"/>
    <mergeCell ref="LGI1:LGL1"/>
    <mergeCell ref="LGM1:LGP1"/>
    <mergeCell ref="LGQ1:LGT1"/>
    <mergeCell ref="LGU1:LGX1"/>
    <mergeCell ref="LGY1:LHB1"/>
    <mergeCell ref="LHC1:LHF1"/>
    <mergeCell ref="LFK1:LFN1"/>
    <mergeCell ref="LFO1:LFR1"/>
    <mergeCell ref="LFS1:LFV1"/>
    <mergeCell ref="LFW1:LFZ1"/>
    <mergeCell ref="LGA1:LGD1"/>
    <mergeCell ref="LGE1:LGH1"/>
    <mergeCell ref="LEM1:LEP1"/>
    <mergeCell ref="LEQ1:LET1"/>
    <mergeCell ref="LEU1:LEX1"/>
    <mergeCell ref="LEY1:LFB1"/>
    <mergeCell ref="LFC1:LFF1"/>
    <mergeCell ref="LFG1:LFJ1"/>
    <mergeCell ref="LDO1:LDR1"/>
    <mergeCell ref="LDS1:LDV1"/>
    <mergeCell ref="LDW1:LDZ1"/>
    <mergeCell ref="LEA1:LED1"/>
    <mergeCell ref="LEE1:LEH1"/>
    <mergeCell ref="LEI1:LEL1"/>
    <mergeCell ref="LCQ1:LCT1"/>
    <mergeCell ref="LCU1:LCX1"/>
    <mergeCell ref="LCY1:LDB1"/>
    <mergeCell ref="LDC1:LDF1"/>
    <mergeCell ref="LDG1:LDJ1"/>
    <mergeCell ref="LDK1:LDN1"/>
    <mergeCell ref="LBS1:LBV1"/>
    <mergeCell ref="LBW1:LBZ1"/>
    <mergeCell ref="LCA1:LCD1"/>
    <mergeCell ref="LCE1:LCH1"/>
    <mergeCell ref="LCI1:LCL1"/>
    <mergeCell ref="LCM1:LCP1"/>
    <mergeCell ref="LAU1:LAX1"/>
    <mergeCell ref="LAY1:LBB1"/>
    <mergeCell ref="LBC1:LBF1"/>
    <mergeCell ref="LBG1:LBJ1"/>
    <mergeCell ref="LBK1:LBN1"/>
    <mergeCell ref="LBO1:LBR1"/>
    <mergeCell ref="KZW1:KZZ1"/>
    <mergeCell ref="LAA1:LAD1"/>
    <mergeCell ref="LAE1:LAH1"/>
    <mergeCell ref="LAI1:LAL1"/>
    <mergeCell ref="LAM1:LAP1"/>
    <mergeCell ref="LAQ1:LAT1"/>
    <mergeCell ref="KYY1:KZB1"/>
    <mergeCell ref="KZC1:KZF1"/>
    <mergeCell ref="KZG1:KZJ1"/>
    <mergeCell ref="KZK1:KZN1"/>
    <mergeCell ref="KZO1:KZR1"/>
    <mergeCell ref="KZS1:KZV1"/>
    <mergeCell ref="KYA1:KYD1"/>
    <mergeCell ref="KYE1:KYH1"/>
    <mergeCell ref="KYI1:KYL1"/>
    <mergeCell ref="KYM1:KYP1"/>
    <mergeCell ref="KYQ1:KYT1"/>
    <mergeCell ref="KYU1:KYX1"/>
    <mergeCell ref="KXC1:KXF1"/>
    <mergeCell ref="KXG1:KXJ1"/>
    <mergeCell ref="KXK1:KXN1"/>
    <mergeCell ref="KXO1:KXR1"/>
    <mergeCell ref="KXS1:KXV1"/>
    <mergeCell ref="KXW1:KXZ1"/>
    <mergeCell ref="KWE1:KWH1"/>
    <mergeCell ref="KWI1:KWL1"/>
    <mergeCell ref="KWM1:KWP1"/>
    <mergeCell ref="KWQ1:KWT1"/>
    <mergeCell ref="KWU1:KWX1"/>
    <mergeCell ref="KWY1:KXB1"/>
    <mergeCell ref="KVG1:KVJ1"/>
    <mergeCell ref="KVK1:KVN1"/>
    <mergeCell ref="KVO1:KVR1"/>
    <mergeCell ref="KVS1:KVV1"/>
    <mergeCell ref="KVW1:KVZ1"/>
    <mergeCell ref="KWA1:KWD1"/>
    <mergeCell ref="KUI1:KUL1"/>
    <mergeCell ref="KUM1:KUP1"/>
    <mergeCell ref="KUQ1:KUT1"/>
    <mergeCell ref="KUU1:KUX1"/>
    <mergeCell ref="KUY1:KVB1"/>
    <mergeCell ref="KVC1:KVF1"/>
    <mergeCell ref="KTK1:KTN1"/>
    <mergeCell ref="KTO1:KTR1"/>
    <mergeCell ref="KTS1:KTV1"/>
    <mergeCell ref="KTW1:KTZ1"/>
    <mergeCell ref="KUA1:KUD1"/>
    <mergeCell ref="KUE1:KUH1"/>
    <mergeCell ref="KSM1:KSP1"/>
    <mergeCell ref="KSQ1:KST1"/>
    <mergeCell ref="KSU1:KSX1"/>
    <mergeCell ref="KSY1:KTB1"/>
    <mergeCell ref="KTC1:KTF1"/>
    <mergeCell ref="KTG1:KTJ1"/>
    <mergeCell ref="KRO1:KRR1"/>
    <mergeCell ref="KRS1:KRV1"/>
    <mergeCell ref="KRW1:KRZ1"/>
    <mergeCell ref="KSA1:KSD1"/>
    <mergeCell ref="KSE1:KSH1"/>
    <mergeCell ref="KSI1:KSL1"/>
    <mergeCell ref="KQQ1:KQT1"/>
    <mergeCell ref="KQU1:KQX1"/>
    <mergeCell ref="KQY1:KRB1"/>
    <mergeCell ref="KRC1:KRF1"/>
    <mergeCell ref="KRG1:KRJ1"/>
    <mergeCell ref="KRK1:KRN1"/>
    <mergeCell ref="KPS1:KPV1"/>
    <mergeCell ref="KPW1:KPZ1"/>
    <mergeCell ref="KQA1:KQD1"/>
    <mergeCell ref="KQE1:KQH1"/>
    <mergeCell ref="KQI1:KQL1"/>
    <mergeCell ref="KQM1:KQP1"/>
    <mergeCell ref="KOU1:KOX1"/>
    <mergeCell ref="KOY1:KPB1"/>
    <mergeCell ref="KPC1:KPF1"/>
    <mergeCell ref="KPG1:KPJ1"/>
    <mergeCell ref="KPK1:KPN1"/>
    <mergeCell ref="KPO1:KPR1"/>
    <mergeCell ref="KNW1:KNZ1"/>
    <mergeCell ref="KOA1:KOD1"/>
    <mergeCell ref="KOE1:KOH1"/>
    <mergeCell ref="KOI1:KOL1"/>
    <mergeCell ref="KOM1:KOP1"/>
    <mergeCell ref="KOQ1:KOT1"/>
    <mergeCell ref="KMY1:KNB1"/>
    <mergeCell ref="KNC1:KNF1"/>
    <mergeCell ref="KNG1:KNJ1"/>
    <mergeCell ref="KNK1:KNN1"/>
    <mergeCell ref="KNO1:KNR1"/>
    <mergeCell ref="KNS1:KNV1"/>
    <mergeCell ref="KMA1:KMD1"/>
    <mergeCell ref="KME1:KMH1"/>
    <mergeCell ref="KMI1:KML1"/>
    <mergeCell ref="KMM1:KMP1"/>
    <mergeCell ref="KMQ1:KMT1"/>
    <mergeCell ref="KMU1:KMX1"/>
    <mergeCell ref="KLC1:KLF1"/>
    <mergeCell ref="KLG1:KLJ1"/>
    <mergeCell ref="KLK1:KLN1"/>
    <mergeCell ref="KLO1:KLR1"/>
    <mergeCell ref="KLS1:KLV1"/>
    <mergeCell ref="KLW1:KLZ1"/>
    <mergeCell ref="KKE1:KKH1"/>
    <mergeCell ref="KKI1:KKL1"/>
    <mergeCell ref="KKM1:KKP1"/>
    <mergeCell ref="KKQ1:KKT1"/>
    <mergeCell ref="KKU1:KKX1"/>
    <mergeCell ref="KKY1:KLB1"/>
    <mergeCell ref="KJG1:KJJ1"/>
    <mergeCell ref="KJK1:KJN1"/>
    <mergeCell ref="KJO1:KJR1"/>
    <mergeCell ref="KJS1:KJV1"/>
    <mergeCell ref="KJW1:KJZ1"/>
    <mergeCell ref="KKA1:KKD1"/>
    <mergeCell ref="KII1:KIL1"/>
    <mergeCell ref="KIM1:KIP1"/>
    <mergeCell ref="KIQ1:KIT1"/>
    <mergeCell ref="KIU1:KIX1"/>
    <mergeCell ref="KIY1:KJB1"/>
    <mergeCell ref="KJC1:KJF1"/>
    <mergeCell ref="KHK1:KHN1"/>
    <mergeCell ref="KHO1:KHR1"/>
    <mergeCell ref="KHS1:KHV1"/>
    <mergeCell ref="KHW1:KHZ1"/>
    <mergeCell ref="KIA1:KID1"/>
    <mergeCell ref="KIE1:KIH1"/>
    <mergeCell ref="KGM1:KGP1"/>
    <mergeCell ref="KGQ1:KGT1"/>
    <mergeCell ref="KGU1:KGX1"/>
    <mergeCell ref="KGY1:KHB1"/>
    <mergeCell ref="KHC1:KHF1"/>
    <mergeCell ref="KHG1:KHJ1"/>
    <mergeCell ref="KFO1:KFR1"/>
    <mergeCell ref="KFS1:KFV1"/>
    <mergeCell ref="KFW1:KFZ1"/>
    <mergeCell ref="KGA1:KGD1"/>
    <mergeCell ref="KGE1:KGH1"/>
    <mergeCell ref="KGI1:KGL1"/>
    <mergeCell ref="KEQ1:KET1"/>
    <mergeCell ref="KEU1:KEX1"/>
    <mergeCell ref="KEY1:KFB1"/>
    <mergeCell ref="KFC1:KFF1"/>
    <mergeCell ref="KFG1:KFJ1"/>
    <mergeCell ref="KFK1:KFN1"/>
    <mergeCell ref="KDS1:KDV1"/>
    <mergeCell ref="KDW1:KDZ1"/>
    <mergeCell ref="KEA1:KED1"/>
    <mergeCell ref="KEE1:KEH1"/>
    <mergeCell ref="KEI1:KEL1"/>
    <mergeCell ref="KEM1:KEP1"/>
    <mergeCell ref="KCU1:KCX1"/>
    <mergeCell ref="KCY1:KDB1"/>
    <mergeCell ref="KDC1:KDF1"/>
    <mergeCell ref="KDG1:KDJ1"/>
    <mergeCell ref="KDK1:KDN1"/>
    <mergeCell ref="KDO1:KDR1"/>
    <mergeCell ref="KBW1:KBZ1"/>
    <mergeCell ref="KCA1:KCD1"/>
    <mergeCell ref="KCE1:KCH1"/>
    <mergeCell ref="KCI1:KCL1"/>
    <mergeCell ref="KCM1:KCP1"/>
    <mergeCell ref="KCQ1:KCT1"/>
    <mergeCell ref="KAY1:KBB1"/>
    <mergeCell ref="KBC1:KBF1"/>
    <mergeCell ref="KBG1:KBJ1"/>
    <mergeCell ref="KBK1:KBN1"/>
    <mergeCell ref="KBO1:KBR1"/>
    <mergeCell ref="KBS1:KBV1"/>
    <mergeCell ref="KAA1:KAD1"/>
    <mergeCell ref="KAE1:KAH1"/>
    <mergeCell ref="KAI1:KAL1"/>
    <mergeCell ref="KAM1:KAP1"/>
    <mergeCell ref="KAQ1:KAT1"/>
    <mergeCell ref="KAU1:KAX1"/>
    <mergeCell ref="JZC1:JZF1"/>
    <mergeCell ref="JZG1:JZJ1"/>
    <mergeCell ref="JZK1:JZN1"/>
    <mergeCell ref="JZO1:JZR1"/>
    <mergeCell ref="JZS1:JZV1"/>
    <mergeCell ref="JZW1:JZZ1"/>
    <mergeCell ref="JYE1:JYH1"/>
    <mergeCell ref="JYI1:JYL1"/>
    <mergeCell ref="JYM1:JYP1"/>
    <mergeCell ref="JYQ1:JYT1"/>
    <mergeCell ref="JYU1:JYX1"/>
    <mergeCell ref="JYY1:JZB1"/>
    <mergeCell ref="JXG1:JXJ1"/>
    <mergeCell ref="JXK1:JXN1"/>
    <mergeCell ref="JXO1:JXR1"/>
    <mergeCell ref="JXS1:JXV1"/>
    <mergeCell ref="JXW1:JXZ1"/>
    <mergeCell ref="JYA1:JYD1"/>
    <mergeCell ref="JWI1:JWL1"/>
    <mergeCell ref="JWM1:JWP1"/>
    <mergeCell ref="JWQ1:JWT1"/>
    <mergeCell ref="JWU1:JWX1"/>
    <mergeCell ref="JWY1:JXB1"/>
    <mergeCell ref="JXC1:JXF1"/>
    <mergeCell ref="JVK1:JVN1"/>
    <mergeCell ref="JVO1:JVR1"/>
    <mergeCell ref="JVS1:JVV1"/>
    <mergeCell ref="JVW1:JVZ1"/>
    <mergeCell ref="JWA1:JWD1"/>
    <mergeCell ref="JWE1:JWH1"/>
    <mergeCell ref="JUM1:JUP1"/>
    <mergeCell ref="JUQ1:JUT1"/>
    <mergeCell ref="JUU1:JUX1"/>
    <mergeCell ref="JUY1:JVB1"/>
    <mergeCell ref="JVC1:JVF1"/>
    <mergeCell ref="JVG1:JVJ1"/>
    <mergeCell ref="JTO1:JTR1"/>
    <mergeCell ref="JTS1:JTV1"/>
    <mergeCell ref="JTW1:JTZ1"/>
    <mergeCell ref="JUA1:JUD1"/>
    <mergeCell ref="JUE1:JUH1"/>
    <mergeCell ref="JUI1:JUL1"/>
    <mergeCell ref="JSQ1:JST1"/>
    <mergeCell ref="JSU1:JSX1"/>
    <mergeCell ref="JSY1:JTB1"/>
    <mergeCell ref="JTC1:JTF1"/>
    <mergeCell ref="JTG1:JTJ1"/>
    <mergeCell ref="JTK1:JTN1"/>
    <mergeCell ref="JRS1:JRV1"/>
    <mergeCell ref="JRW1:JRZ1"/>
    <mergeCell ref="JSA1:JSD1"/>
    <mergeCell ref="JSE1:JSH1"/>
    <mergeCell ref="JSI1:JSL1"/>
    <mergeCell ref="JSM1:JSP1"/>
    <mergeCell ref="JQU1:JQX1"/>
    <mergeCell ref="JQY1:JRB1"/>
    <mergeCell ref="JRC1:JRF1"/>
    <mergeCell ref="JRG1:JRJ1"/>
    <mergeCell ref="JRK1:JRN1"/>
    <mergeCell ref="JRO1:JRR1"/>
    <mergeCell ref="JPW1:JPZ1"/>
    <mergeCell ref="JQA1:JQD1"/>
    <mergeCell ref="JQE1:JQH1"/>
    <mergeCell ref="JQI1:JQL1"/>
    <mergeCell ref="JQM1:JQP1"/>
    <mergeCell ref="JQQ1:JQT1"/>
    <mergeCell ref="JOY1:JPB1"/>
    <mergeCell ref="JPC1:JPF1"/>
    <mergeCell ref="JPG1:JPJ1"/>
    <mergeCell ref="JPK1:JPN1"/>
    <mergeCell ref="JPO1:JPR1"/>
    <mergeCell ref="JPS1:JPV1"/>
    <mergeCell ref="JOA1:JOD1"/>
    <mergeCell ref="JOE1:JOH1"/>
    <mergeCell ref="JOI1:JOL1"/>
    <mergeCell ref="JOM1:JOP1"/>
    <mergeCell ref="JOQ1:JOT1"/>
    <mergeCell ref="JOU1:JOX1"/>
    <mergeCell ref="JNC1:JNF1"/>
    <mergeCell ref="JNG1:JNJ1"/>
    <mergeCell ref="JNK1:JNN1"/>
    <mergeCell ref="JNO1:JNR1"/>
    <mergeCell ref="JNS1:JNV1"/>
    <mergeCell ref="JNW1:JNZ1"/>
    <mergeCell ref="JME1:JMH1"/>
    <mergeCell ref="JMI1:JML1"/>
    <mergeCell ref="JMM1:JMP1"/>
    <mergeCell ref="JMQ1:JMT1"/>
    <mergeCell ref="JMU1:JMX1"/>
    <mergeCell ref="JMY1:JNB1"/>
    <mergeCell ref="JLG1:JLJ1"/>
    <mergeCell ref="JLK1:JLN1"/>
    <mergeCell ref="JLO1:JLR1"/>
    <mergeCell ref="JLS1:JLV1"/>
    <mergeCell ref="JLW1:JLZ1"/>
    <mergeCell ref="JMA1:JMD1"/>
    <mergeCell ref="JKI1:JKL1"/>
    <mergeCell ref="JKM1:JKP1"/>
    <mergeCell ref="JKQ1:JKT1"/>
    <mergeCell ref="JKU1:JKX1"/>
    <mergeCell ref="JKY1:JLB1"/>
    <mergeCell ref="JLC1:JLF1"/>
    <mergeCell ref="JJK1:JJN1"/>
    <mergeCell ref="JJO1:JJR1"/>
    <mergeCell ref="JJS1:JJV1"/>
    <mergeCell ref="JJW1:JJZ1"/>
    <mergeCell ref="JKA1:JKD1"/>
    <mergeCell ref="JKE1:JKH1"/>
    <mergeCell ref="JIM1:JIP1"/>
    <mergeCell ref="JIQ1:JIT1"/>
    <mergeCell ref="JIU1:JIX1"/>
    <mergeCell ref="JIY1:JJB1"/>
    <mergeCell ref="JJC1:JJF1"/>
    <mergeCell ref="JJG1:JJJ1"/>
    <mergeCell ref="JHO1:JHR1"/>
    <mergeCell ref="JHS1:JHV1"/>
    <mergeCell ref="JHW1:JHZ1"/>
    <mergeCell ref="JIA1:JID1"/>
    <mergeCell ref="JIE1:JIH1"/>
    <mergeCell ref="JII1:JIL1"/>
    <mergeCell ref="JGQ1:JGT1"/>
    <mergeCell ref="JGU1:JGX1"/>
    <mergeCell ref="JGY1:JHB1"/>
    <mergeCell ref="JHC1:JHF1"/>
    <mergeCell ref="JHG1:JHJ1"/>
    <mergeCell ref="JHK1:JHN1"/>
    <mergeCell ref="JFS1:JFV1"/>
    <mergeCell ref="JFW1:JFZ1"/>
    <mergeCell ref="JGA1:JGD1"/>
    <mergeCell ref="JGE1:JGH1"/>
    <mergeCell ref="JGI1:JGL1"/>
    <mergeCell ref="JGM1:JGP1"/>
    <mergeCell ref="JEU1:JEX1"/>
    <mergeCell ref="JEY1:JFB1"/>
    <mergeCell ref="JFC1:JFF1"/>
    <mergeCell ref="JFG1:JFJ1"/>
    <mergeCell ref="JFK1:JFN1"/>
    <mergeCell ref="JFO1:JFR1"/>
    <mergeCell ref="JDW1:JDZ1"/>
    <mergeCell ref="JEA1:JED1"/>
    <mergeCell ref="JEE1:JEH1"/>
    <mergeCell ref="JEI1:JEL1"/>
    <mergeCell ref="JEM1:JEP1"/>
    <mergeCell ref="JEQ1:JET1"/>
    <mergeCell ref="JCY1:JDB1"/>
    <mergeCell ref="JDC1:JDF1"/>
    <mergeCell ref="JDG1:JDJ1"/>
    <mergeCell ref="JDK1:JDN1"/>
    <mergeCell ref="JDO1:JDR1"/>
    <mergeCell ref="JDS1:JDV1"/>
    <mergeCell ref="JCA1:JCD1"/>
    <mergeCell ref="JCE1:JCH1"/>
    <mergeCell ref="JCI1:JCL1"/>
    <mergeCell ref="JCM1:JCP1"/>
    <mergeCell ref="JCQ1:JCT1"/>
    <mergeCell ref="JCU1:JCX1"/>
    <mergeCell ref="JBC1:JBF1"/>
    <mergeCell ref="JBG1:JBJ1"/>
    <mergeCell ref="JBK1:JBN1"/>
    <mergeCell ref="JBO1:JBR1"/>
    <mergeCell ref="JBS1:JBV1"/>
    <mergeCell ref="JBW1:JBZ1"/>
    <mergeCell ref="JAE1:JAH1"/>
    <mergeCell ref="JAI1:JAL1"/>
    <mergeCell ref="JAM1:JAP1"/>
    <mergeCell ref="JAQ1:JAT1"/>
    <mergeCell ref="JAU1:JAX1"/>
    <mergeCell ref="JAY1:JBB1"/>
    <mergeCell ref="IZG1:IZJ1"/>
    <mergeCell ref="IZK1:IZN1"/>
    <mergeCell ref="IZO1:IZR1"/>
    <mergeCell ref="IZS1:IZV1"/>
    <mergeCell ref="IZW1:IZZ1"/>
    <mergeCell ref="JAA1:JAD1"/>
    <mergeCell ref="IYI1:IYL1"/>
    <mergeCell ref="IYM1:IYP1"/>
    <mergeCell ref="IYQ1:IYT1"/>
    <mergeCell ref="IYU1:IYX1"/>
    <mergeCell ref="IYY1:IZB1"/>
    <mergeCell ref="IZC1:IZF1"/>
    <mergeCell ref="IXK1:IXN1"/>
    <mergeCell ref="IXO1:IXR1"/>
    <mergeCell ref="IXS1:IXV1"/>
    <mergeCell ref="IXW1:IXZ1"/>
    <mergeCell ref="IYA1:IYD1"/>
    <mergeCell ref="IYE1:IYH1"/>
    <mergeCell ref="IWM1:IWP1"/>
    <mergeCell ref="IWQ1:IWT1"/>
    <mergeCell ref="IWU1:IWX1"/>
    <mergeCell ref="IWY1:IXB1"/>
    <mergeCell ref="IXC1:IXF1"/>
    <mergeCell ref="IXG1:IXJ1"/>
    <mergeCell ref="IVO1:IVR1"/>
    <mergeCell ref="IVS1:IVV1"/>
    <mergeCell ref="IVW1:IVZ1"/>
    <mergeCell ref="IWA1:IWD1"/>
    <mergeCell ref="IWE1:IWH1"/>
    <mergeCell ref="IWI1:IWL1"/>
    <mergeCell ref="IUQ1:IUT1"/>
    <mergeCell ref="IUU1:IUX1"/>
    <mergeCell ref="IUY1:IVB1"/>
    <mergeCell ref="IVC1:IVF1"/>
    <mergeCell ref="IVG1:IVJ1"/>
    <mergeCell ref="IVK1:IVN1"/>
    <mergeCell ref="ITS1:ITV1"/>
    <mergeCell ref="ITW1:ITZ1"/>
    <mergeCell ref="IUA1:IUD1"/>
    <mergeCell ref="IUE1:IUH1"/>
    <mergeCell ref="IUI1:IUL1"/>
    <mergeCell ref="IUM1:IUP1"/>
    <mergeCell ref="ISU1:ISX1"/>
    <mergeCell ref="ISY1:ITB1"/>
    <mergeCell ref="ITC1:ITF1"/>
    <mergeCell ref="ITG1:ITJ1"/>
    <mergeCell ref="ITK1:ITN1"/>
    <mergeCell ref="ITO1:ITR1"/>
    <mergeCell ref="IRW1:IRZ1"/>
    <mergeCell ref="ISA1:ISD1"/>
    <mergeCell ref="ISE1:ISH1"/>
    <mergeCell ref="ISI1:ISL1"/>
    <mergeCell ref="ISM1:ISP1"/>
    <mergeCell ref="ISQ1:IST1"/>
    <mergeCell ref="IQY1:IRB1"/>
    <mergeCell ref="IRC1:IRF1"/>
    <mergeCell ref="IRG1:IRJ1"/>
    <mergeCell ref="IRK1:IRN1"/>
    <mergeCell ref="IRO1:IRR1"/>
    <mergeCell ref="IRS1:IRV1"/>
    <mergeCell ref="IQA1:IQD1"/>
    <mergeCell ref="IQE1:IQH1"/>
    <mergeCell ref="IQI1:IQL1"/>
    <mergeCell ref="IQM1:IQP1"/>
    <mergeCell ref="IQQ1:IQT1"/>
    <mergeCell ref="IQU1:IQX1"/>
    <mergeCell ref="IPC1:IPF1"/>
    <mergeCell ref="IPG1:IPJ1"/>
    <mergeCell ref="IPK1:IPN1"/>
    <mergeCell ref="IPO1:IPR1"/>
    <mergeCell ref="IPS1:IPV1"/>
    <mergeCell ref="IPW1:IPZ1"/>
    <mergeCell ref="IOE1:IOH1"/>
    <mergeCell ref="IOI1:IOL1"/>
    <mergeCell ref="IOM1:IOP1"/>
    <mergeCell ref="IOQ1:IOT1"/>
    <mergeCell ref="IOU1:IOX1"/>
    <mergeCell ref="IOY1:IPB1"/>
    <mergeCell ref="ING1:INJ1"/>
    <mergeCell ref="INK1:INN1"/>
    <mergeCell ref="INO1:INR1"/>
    <mergeCell ref="INS1:INV1"/>
    <mergeCell ref="INW1:INZ1"/>
    <mergeCell ref="IOA1:IOD1"/>
    <mergeCell ref="IMI1:IML1"/>
    <mergeCell ref="IMM1:IMP1"/>
    <mergeCell ref="IMQ1:IMT1"/>
    <mergeCell ref="IMU1:IMX1"/>
    <mergeCell ref="IMY1:INB1"/>
    <mergeCell ref="INC1:INF1"/>
    <mergeCell ref="ILK1:ILN1"/>
    <mergeCell ref="ILO1:ILR1"/>
    <mergeCell ref="ILS1:ILV1"/>
    <mergeCell ref="ILW1:ILZ1"/>
    <mergeCell ref="IMA1:IMD1"/>
    <mergeCell ref="IME1:IMH1"/>
    <mergeCell ref="IKM1:IKP1"/>
    <mergeCell ref="IKQ1:IKT1"/>
    <mergeCell ref="IKU1:IKX1"/>
    <mergeCell ref="IKY1:ILB1"/>
    <mergeCell ref="ILC1:ILF1"/>
    <mergeCell ref="ILG1:ILJ1"/>
    <mergeCell ref="IJO1:IJR1"/>
    <mergeCell ref="IJS1:IJV1"/>
    <mergeCell ref="IJW1:IJZ1"/>
    <mergeCell ref="IKA1:IKD1"/>
    <mergeCell ref="IKE1:IKH1"/>
    <mergeCell ref="IKI1:IKL1"/>
    <mergeCell ref="IIQ1:IIT1"/>
    <mergeCell ref="IIU1:IIX1"/>
    <mergeCell ref="IIY1:IJB1"/>
    <mergeCell ref="IJC1:IJF1"/>
    <mergeCell ref="IJG1:IJJ1"/>
    <mergeCell ref="IJK1:IJN1"/>
    <mergeCell ref="IHS1:IHV1"/>
    <mergeCell ref="IHW1:IHZ1"/>
    <mergeCell ref="IIA1:IID1"/>
    <mergeCell ref="IIE1:IIH1"/>
    <mergeCell ref="III1:IIL1"/>
    <mergeCell ref="IIM1:IIP1"/>
    <mergeCell ref="IGU1:IGX1"/>
    <mergeCell ref="IGY1:IHB1"/>
    <mergeCell ref="IHC1:IHF1"/>
    <mergeCell ref="IHG1:IHJ1"/>
    <mergeCell ref="IHK1:IHN1"/>
    <mergeCell ref="IHO1:IHR1"/>
    <mergeCell ref="IFW1:IFZ1"/>
    <mergeCell ref="IGA1:IGD1"/>
    <mergeCell ref="IGE1:IGH1"/>
    <mergeCell ref="IGI1:IGL1"/>
    <mergeCell ref="IGM1:IGP1"/>
    <mergeCell ref="IGQ1:IGT1"/>
    <mergeCell ref="IEY1:IFB1"/>
    <mergeCell ref="IFC1:IFF1"/>
    <mergeCell ref="IFG1:IFJ1"/>
    <mergeCell ref="IFK1:IFN1"/>
    <mergeCell ref="IFO1:IFR1"/>
    <mergeCell ref="IFS1:IFV1"/>
    <mergeCell ref="IEA1:IED1"/>
    <mergeCell ref="IEE1:IEH1"/>
    <mergeCell ref="IEI1:IEL1"/>
    <mergeCell ref="IEM1:IEP1"/>
    <mergeCell ref="IEQ1:IET1"/>
    <mergeCell ref="IEU1:IEX1"/>
    <mergeCell ref="IDC1:IDF1"/>
    <mergeCell ref="IDG1:IDJ1"/>
    <mergeCell ref="IDK1:IDN1"/>
    <mergeCell ref="IDO1:IDR1"/>
    <mergeCell ref="IDS1:IDV1"/>
    <mergeCell ref="IDW1:IDZ1"/>
    <mergeCell ref="ICE1:ICH1"/>
    <mergeCell ref="ICI1:ICL1"/>
    <mergeCell ref="ICM1:ICP1"/>
    <mergeCell ref="ICQ1:ICT1"/>
    <mergeCell ref="ICU1:ICX1"/>
    <mergeCell ref="ICY1:IDB1"/>
    <mergeCell ref="IBG1:IBJ1"/>
    <mergeCell ref="IBK1:IBN1"/>
    <mergeCell ref="IBO1:IBR1"/>
    <mergeCell ref="IBS1:IBV1"/>
    <mergeCell ref="IBW1:IBZ1"/>
    <mergeCell ref="ICA1:ICD1"/>
    <mergeCell ref="IAI1:IAL1"/>
    <mergeCell ref="IAM1:IAP1"/>
    <mergeCell ref="IAQ1:IAT1"/>
    <mergeCell ref="IAU1:IAX1"/>
    <mergeCell ref="IAY1:IBB1"/>
    <mergeCell ref="IBC1:IBF1"/>
    <mergeCell ref="HZK1:HZN1"/>
    <mergeCell ref="HZO1:HZR1"/>
    <mergeCell ref="HZS1:HZV1"/>
    <mergeCell ref="HZW1:HZZ1"/>
    <mergeCell ref="IAA1:IAD1"/>
    <mergeCell ref="IAE1:IAH1"/>
    <mergeCell ref="HYM1:HYP1"/>
    <mergeCell ref="HYQ1:HYT1"/>
    <mergeCell ref="HYU1:HYX1"/>
    <mergeCell ref="HYY1:HZB1"/>
    <mergeCell ref="HZC1:HZF1"/>
    <mergeCell ref="HZG1:HZJ1"/>
    <mergeCell ref="HXO1:HXR1"/>
    <mergeCell ref="HXS1:HXV1"/>
    <mergeCell ref="HXW1:HXZ1"/>
    <mergeCell ref="HYA1:HYD1"/>
    <mergeCell ref="HYE1:HYH1"/>
    <mergeCell ref="HYI1:HYL1"/>
    <mergeCell ref="HWQ1:HWT1"/>
    <mergeCell ref="HWU1:HWX1"/>
    <mergeCell ref="HWY1:HXB1"/>
    <mergeCell ref="HXC1:HXF1"/>
    <mergeCell ref="HXG1:HXJ1"/>
    <mergeCell ref="HXK1:HXN1"/>
    <mergeCell ref="HVS1:HVV1"/>
    <mergeCell ref="HVW1:HVZ1"/>
    <mergeCell ref="HWA1:HWD1"/>
    <mergeCell ref="HWE1:HWH1"/>
    <mergeCell ref="HWI1:HWL1"/>
    <mergeCell ref="HWM1:HWP1"/>
    <mergeCell ref="HUU1:HUX1"/>
    <mergeCell ref="HUY1:HVB1"/>
    <mergeCell ref="HVC1:HVF1"/>
    <mergeCell ref="HVG1:HVJ1"/>
    <mergeCell ref="HVK1:HVN1"/>
    <mergeCell ref="HVO1:HVR1"/>
    <mergeCell ref="HTW1:HTZ1"/>
    <mergeCell ref="HUA1:HUD1"/>
    <mergeCell ref="HUE1:HUH1"/>
    <mergeCell ref="HUI1:HUL1"/>
    <mergeCell ref="HUM1:HUP1"/>
    <mergeCell ref="HUQ1:HUT1"/>
    <mergeCell ref="HSY1:HTB1"/>
    <mergeCell ref="HTC1:HTF1"/>
    <mergeCell ref="HTG1:HTJ1"/>
    <mergeCell ref="HTK1:HTN1"/>
    <mergeCell ref="HTO1:HTR1"/>
    <mergeCell ref="HTS1:HTV1"/>
    <mergeCell ref="HSA1:HSD1"/>
    <mergeCell ref="HSE1:HSH1"/>
    <mergeCell ref="HSI1:HSL1"/>
    <mergeCell ref="HSM1:HSP1"/>
    <mergeCell ref="HSQ1:HST1"/>
    <mergeCell ref="HSU1:HSX1"/>
    <mergeCell ref="HRC1:HRF1"/>
    <mergeCell ref="HRG1:HRJ1"/>
    <mergeCell ref="HRK1:HRN1"/>
    <mergeCell ref="HRO1:HRR1"/>
    <mergeCell ref="HRS1:HRV1"/>
    <mergeCell ref="HRW1:HRZ1"/>
    <mergeCell ref="HQE1:HQH1"/>
    <mergeCell ref="HQI1:HQL1"/>
    <mergeCell ref="HQM1:HQP1"/>
    <mergeCell ref="HQQ1:HQT1"/>
    <mergeCell ref="HQU1:HQX1"/>
    <mergeCell ref="HQY1:HRB1"/>
    <mergeCell ref="HPG1:HPJ1"/>
    <mergeCell ref="HPK1:HPN1"/>
    <mergeCell ref="HPO1:HPR1"/>
    <mergeCell ref="HPS1:HPV1"/>
    <mergeCell ref="HPW1:HPZ1"/>
    <mergeCell ref="HQA1:HQD1"/>
    <mergeCell ref="HOI1:HOL1"/>
    <mergeCell ref="HOM1:HOP1"/>
    <mergeCell ref="HOQ1:HOT1"/>
    <mergeCell ref="HOU1:HOX1"/>
    <mergeCell ref="HOY1:HPB1"/>
    <mergeCell ref="HPC1:HPF1"/>
    <mergeCell ref="HNK1:HNN1"/>
    <mergeCell ref="HNO1:HNR1"/>
    <mergeCell ref="HNS1:HNV1"/>
    <mergeCell ref="HNW1:HNZ1"/>
    <mergeCell ref="HOA1:HOD1"/>
    <mergeCell ref="HOE1:HOH1"/>
    <mergeCell ref="HMM1:HMP1"/>
    <mergeCell ref="HMQ1:HMT1"/>
    <mergeCell ref="HMU1:HMX1"/>
    <mergeCell ref="HMY1:HNB1"/>
    <mergeCell ref="HNC1:HNF1"/>
    <mergeCell ref="HNG1:HNJ1"/>
    <mergeCell ref="HLO1:HLR1"/>
    <mergeCell ref="HLS1:HLV1"/>
    <mergeCell ref="HLW1:HLZ1"/>
    <mergeCell ref="HMA1:HMD1"/>
    <mergeCell ref="HME1:HMH1"/>
    <mergeCell ref="HMI1:HML1"/>
    <mergeCell ref="HKQ1:HKT1"/>
    <mergeCell ref="HKU1:HKX1"/>
    <mergeCell ref="HKY1:HLB1"/>
    <mergeCell ref="HLC1:HLF1"/>
    <mergeCell ref="HLG1:HLJ1"/>
    <mergeCell ref="HLK1:HLN1"/>
    <mergeCell ref="HJS1:HJV1"/>
    <mergeCell ref="HJW1:HJZ1"/>
    <mergeCell ref="HKA1:HKD1"/>
    <mergeCell ref="HKE1:HKH1"/>
    <mergeCell ref="HKI1:HKL1"/>
    <mergeCell ref="HKM1:HKP1"/>
    <mergeCell ref="HIU1:HIX1"/>
    <mergeCell ref="HIY1:HJB1"/>
    <mergeCell ref="HJC1:HJF1"/>
    <mergeCell ref="HJG1:HJJ1"/>
    <mergeCell ref="HJK1:HJN1"/>
    <mergeCell ref="HJO1:HJR1"/>
    <mergeCell ref="HHW1:HHZ1"/>
    <mergeCell ref="HIA1:HID1"/>
    <mergeCell ref="HIE1:HIH1"/>
    <mergeCell ref="HII1:HIL1"/>
    <mergeCell ref="HIM1:HIP1"/>
    <mergeCell ref="HIQ1:HIT1"/>
    <mergeCell ref="HGY1:HHB1"/>
    <mergeCell ref="HHC1:HHF1"/>
    <mergeCell ref="HHG1:HHJ1"/>
    <mergeCell ref="HHK1:HHN1"/>
    <mergeCell ref="HHO1:HHR1"/>
    <mergeCell ref="HHS1:HHV1"/>
    <mergeCell ref="HGA1:HGD1"/>
    <mergeCell ref="HGE1:HGH1"/>
    <mergeCell ref="HGI1:HGL1"/>
    <mergeCell ref="HGM1:HGP1"/>
    <mergeCell ref="HGQ1:HGT1"/>
    <mergeCell ref="HGU1:HGX1"/>
    <mergeCell ref="HFC1:HFF1"/>
    <mergeCell ref="HFG1:HFJ1"/>
    <mergeCell ref="HFK1:HFN1"/>
    <mergeCell ref="HFO1:HFR1"/>
    <mergeCell ref="HFS1:HFV1"/>
    <mergeCell ref="HFW1:HFZ1"/>
    <mergeCell ref="HEE1:HEH1"/>
    <mergeCell ref="HEI1:HEL1"/>
    <mergeCell ref="HEM1:HEP1"/>
    <mergeCell ref="HEQ1:HET1"/>
    <mergeCell ref="HEU1:HEX1"/>
    <mergeCell ref="HEY1:HFB1"/>
    <mergeCell ref="HDG1:HDJ1"/>
    <mergeCell ref="HDK1:HDN1"/>
    <mergeCell ref="HDO1:HDR1"/>
    <mergeCell ref="HDS1:HDV1"/>
    <mergeCell ref="HDW1:HDZ1"/>
    <mergeCell ref="HEA1:HED1"/>
    <mergeCell ref="HCI1:HCL1"/>
    <mergeCell ref="HCM1:HCP1"/>
    <mergeCell ref="HCQ1:HCT1"/>
    <mergeCell ref="HCU1:HCX1"/>
    <mergeCell ref="HCY1:HDB1"/>
    <mergeCell ref="HDC1:HDF1"/>
    <mergeCell ref="HBK1:HBN1"/>
    <mergeCell ref="HBO1:HBR1"/>
    <mergeCell ref="HBS1:HBV1"/>
    <mergeCell ref="HBW1:HBZ1"/>
    <mergeCell ref="HCA1:HCD1"/>
    <mergeCell ref="HCE1:HCH1"/>
    <mergeCell ref="HAM1:HAP1"/>
    <mergeCell ref="HAQ1:HAT1"/>
    <mergeCell ref="HAU1:HAX1"/>
    <mergeCell ref="HAY1:HBB1"/>
    <mergeCell ref="HBC1:HBF1"/>
    <mergeCell ref="HBG1:HBJ1"/>
    <mergeCell ref="GZO1:GZR1"/>
    <mergeCell ref="GZS1:GZV1"/>
    <mergeCell ref="GZW1:GZZ1"/>
    <mergeCell ref="HAA1:HAD1"/>
    <mergeCell ref="HAE1:HAH1"/>
    <mergeCell ref="HAI1:HAL1"/>
    <mergeCell ref="GYQ1:GYT1"/>
    <mergeCell ref="GYU1:GYX1"/>
    <mergeCell ref="GYY1:GZB1"/>
    <mergeCell ref="GZC1:GZF1"/>
    <mergeCell ref="GZG1:GZJ1"/>
    <mergeCell ref="GZK1:GZN1"/>
    <mergeCell ref="GXS1:GXV1"/>
    <mergeCell ref="GXW1:GXZ1"/>
    <mergeCell ref="GYA1:GYD1"/>
    <mergeCell ref="GYE1:GYH1"/>
    <mergeCell ref="GYI1:GYL1"/>
    <mergeCell ref="GYM1:GYP1"/>
    <mergeCell ref="GWU1:GWX1"/>
    <mergeCell ref="GWY1:GXB1"/>
    <mergeCell ref="GXC1:GXF1"/>
    <mergeCell ref="GXG1:GXJ1"/>
    <mergeCell ref="GXK1:GXN1"/>
    <mergeCell ref="GXO1:GXR1"/>
    <mergeCell ref="GVW1:GVZ1"/>
    <mergeCell ref="GWA1:GWD1"/>
    <mergeCell ref="GWE1:GWH1"/>
    <mergeCell ref="GWI1:GWL1"/>
    <mergeCell ref="GWM1:GWP1"/>
    <mergeCell ref="GWQ1:GWT1"/>
    <mergeCell ref="GUY1:GVB1"/>
    <mergeCell ref="GVC1:GVF1"/>
    <mergeCell ref="GVG1:GVJ1"/>
    <mergeCell ref="GVK1:GVN1"/>
    <mergeCell ref="GVO1:GVR1"/>
    <mergeCell ref="GVS1:GVV1"/>
    <mergeCell ref="GUA1:GUD1"/>
    <mergeCell ref="GUE1:GUH1"/>
    <mergeCell ref="GUI1:GUL1"/>
    <mergeCell ref="GUM1:GUP1"/>
    <mergeCell ref="GUQ1:GUT1"/>
    <mergeCell ref="GUU1:GUX1"/>
    <mergeCell ref="GTC1:GTF1"/>
    <mergeCell ref="GTG1:GTJ1"/>
    <mergeCell ref="GTK1:GTN1"/>
    <mergeCell ref="GTO1:GTR1"/>
    <mergeCell ref="GTS1:GTV1"/>
    <mergeCell ref="GTW1:GTZ1"/>
    <mergeCell ref="GSE1:GSH1"/>
    <mergeCell ref="GSI1:GSL1"/>
    <mergeCell ref="GSM1:GSP1"/>
    <mergeCell ref="GSQ1:GST1"/>
    <mergeCell ref="GSU1:GSX1"/>
    <mergeCell ref="GSY1:GTB1"/>
    <mergeCell ref="GRG1:GRJ1"/>
    <mergeCell ref="GRK1:GRN1"/>
    <mergeCell ref="GRO1:GRR1"/>
    <mergeCell ref="GRS1:GRV1"/>
    <mergeCell ref="GRW1:GRZ1"/>
    <mergeCell ref="GSA1:GSD1"/>
    <mergeCell ref="GQI1:GQL1"/>
    <mergeCell ref="GQM1:GQP1"/>
    <mergeCell ref="GQQ1:GQT1"/>
    <mergeCell ref="GQU1:GQX1"/>
    <mergeCell ref="GQY1:GRB1"/>
    <mergeCell ref="GRC1:GRF1"/>
    <mergeCell ref="GPK1:GPN1"/>
    <mergeCell ref="GPO1:GPR1"/>
    <mergeCell ref="GPS1:GPV1"/>
    <mergeCell ref="GPW1:GPZ1"/>
    <mergeCell ref="GQA1:GQD1"/>
    <mergeCell ref="GQE1:GQH1"/>
    <mergeCell ref="GOM1:GOP1"/>
    <mergeCell ref="GOQ1:GOT1"/>
    <mergeCell ref="GOU1:GOX1"/>
    <mergeCell ref="GOY1:GPB1"/>
    <mergeCell ref="GPC1:GPF1"/>
    <mergeCell ref="GPG1:GPJ1"/>
    <mergeCell ref="GNO1:GNR1"/>
    <mergeCell ref="GNS1:GNV1"/>
    <mergeCell ref="GNW1:GNZ1"/>
    <mergeCell ref="GOA1:GOD1"/>
    <mergeCell ref="GOE1:GOH1"/>
    <mergeCell ref="GOI1:GOL1"/>
    <mergeCell ref="GMQ1:GMT1"/>
    <mergeCell ref="GMU1:GMX1"/>
    <mergeCell ref="GMY1:GNB1"/>
    <mergeCell ref="GNC1:GNF1"/>
    <mergeCell ref="GNG1:GNJ1"/>
    <mergeCell ref="GNK1:GNN1"/>
    <mergeCell ref="GLS1:GLV1"/>
    <mergeCell ref="GLW1:GLZ1"/>
    <mergeCell ref="GMA1:GMD1"/>
    <mergeCell ref="GME1:GMH1"/>
    <mergeCell ref="GMI1:GML1"/>
    <mergeCell ref="GMM1:GMP1"/>
    <mergeCell ref="GKU1:GKX1"/>
    <mergeCell ref="GKY1:GLB1"/>
    <mergeCell ref="GLC1:GLF1"/>
    <mergeCell ref="GLG1:GLJ1"/>
    <mergeCell ref="GLK1:GLN1"/>
    <mergeCell ref="GLO1:GLR1"/>
    <mergeCell ref="GJW1:GJZ1"/>
    <mergeCell ref="GKA1:GKD1"/>
    <mergeCell ref="GKE1:GKH1"/>
    <mergeCell ref="GKI1:GKL1"/>
    <mergeCell ref="GKM1:GKP1"/>
    <mergeCell ref="GKQ1:GKT1"/>
    <mergeCell ref="GIY1:GJB1"/>
    <mergeCell ref="GJC1:GJF1"/>
    <mergeCell ref="GJG1:GJJ1"/>
    <mergeCell ref="GJK1:GJN1"/>
    <mergeCell ref="GJO1:GJR1"/>
    <mergeCell ref="GJS1:GJV1"/>
    <mergeCell ref="GIA1:GID1"/>
    <mergeCell ref="GIE1:GIH1"/>
    <mergeCell ref="GII1:GIL1"/>
    <mergeCell ref="GIM1:GIP1"/>
    <mergeCell ref="GIQ1:GIT1"/>
    <mergeCell ref="GIU1:GIX1"/>
    <mergeCell ref="GHC1:GHF1"/>
    <mergeCell ref="GHG1:GHJ1"/>
    <mergeCell ref="GHK1:GHN1"/>
    <mergeCell ref="GHO1:GHR1"/>
    <mergeCell ref="GHS1:GHV1"/>
    <mergeCell ref="GHW1:GHZ1"/>
    <mergeCell ref="GGE1:GGH1"/>
    <mergeCell ref="GGI1:GGL1"/>
    <mergeCell ref="GGM1:GGP1"/>
    <mergeCell ref="GGQ1:GGT1"/>
    <mergeCell ref="GGU1:GGX1"/>
    <mergeCell ref="GGY1:GHB1"/>
    <mergeCell ref="GFG1:GFJ1"/>
    <mergeCell ref="GFK1:GFN1"/>
    <mergeCell ref="GFO1:GFR1"/>
    <mergeCell ref="GFS1:GFV1"/>
    <mergeCell ref="GFW1:GFZ1"/>
    <mergeCell ref="GGA1:GGD1"/>
    <mergeCell ref="GEI1:GEL1"/>
    <mergeCell ref="GEM1:GEP1"/>
    <mergeCell ref="GEQ1:GET1"/>
    <mergeCell ref="GEU1:GEX1"/>
    <mergeCell ref="GEY1:GFB1"/>
    <mergeCell ref="GFC1:GFF1"/>
    <mergeCell ref="GDK1:GDN1"/>
    <mergeCell ref="GDO1:GDR1"/>
    <mergeCell ref="GDS1:GDV1"/>
    <mergeCell ref="GDW1:GDZ1"/>
    <mergeCell ref="GEA1:GED1"/>
    <mergeCell ref="GEE1:GEH1"/>
    <mergeCell ref="GCM1:GCP1"/>
    <mergeCell ref="GCQ1:GCT1"/>
    <mergeCell ref="GCU1:GCX1"/>
    <mergeCell ref="GCY1:GDB1"/>
    <mergeCell ref="GDC1:GDF1"/>
    <mergeCell ref="GDG1:GDJ1"/>
    <mergeCell ref="GBO1:GBR1"/>
    <mergeCell ref="GBS1:GBV1"/>
    <mergeCell ref="GBW1:GBZ1"/>
    <mergeCell ref="GCA1:GCD1"/>
    <mergeCell ref="GCE1:GCH1"/>
    <mergeCell ref="GCI1:GCL1"/>
    <mergeCell ref="GAQ1:GAT1"/>
    <mergeCell ref="GAU1:GAX1"/>
    <mergeCell ref="GAY1:GBB1"/>
    <mergeCell ref="GBC1:GBF1"/>
    <mergeCell ref="GBG1:GBJ1"/>
    <mergeCell ref="GBK1:GBN1"/>
    <mergeCell ref="FZS1:FZV1"/>
    <mergeCell ref="FZW1:FZZ1"/>
    <mergeCell ref="GAA1:GAD1"/>
    <mergeCell ref="GAE1:GAH1"/>
    <mergeCell ref="GAI1:GAL1"/>
    <mergeCell ref="GAM1:GAP1"/>
    <mergeCell ref="FYU1:FYX1"/>
    <mergeCell ref="FYY1:FZB1"/>
    <mergeCell ref="FZC1:FZF1"/>
    <mergeCell ref="FZG1:FZJ1"/>
    <mergeCell ref="FZK1:FZN1"/>
    <mergeCell ref="FZO1:FZR1"/>
    <mergeCell ref="FXW1:FXZ1"/>
    <mergeCell ref="FYA1:FYD1"/>
    <mergeCell ref="FYE1:FYH1"/>
    <mergeCell ref="FYI1:FYL1"/>
    <mergeCell ref="FYM1:FYP1"/>
    <mergeCell ref="FYQ1:FYT1"/>
    <mergeCell ref="FWY1:FXB1"/>
    <mergeCell ref="FXC1:FXF1"/>
    <mergeCell ref="FXG1:FXJ1"/>
    <mergeCell ref="FXK1:FXN1"/>
    <mergeCell ref="FXO1:FXR1"/>
    <mergeCell ref="FXS1:FXV1"/>
    <mergeCell ref="FWA1:FWD1"/>
    <mergeCell ref="FWE1:FWH1"/>
    <mergeCell ref="FWI1:FWL1"/>
    <mergeCell ref="FWM1:FWP1"/>
    <mergeCell ref="FWQ1:FWT1"/>
    <mergeCell ref="FWU1:FWX1"/>
    <mergeCell ref="FVC1:FVF1"/>
    <mergeCell ref="FVG1:FVJ1"/>
    <mergeCell ref="FVK1:FVN1"/>
    <mergeCell ref="FVO1:FVR1"/>
    <mergeCell ref="FVS1:FVV1"/>
    <mergeCell ref="FVW1:FVZ1"/>
    <mergeCell ref="FUE1:FUH1"/>
    <mergeCell ref="FUI1:FUL1"/>
    <mergeCell ref="FUM1:FUP1"/>
    <mergeCell ref="FUQ1:FUT1"/>
    <mergeCell ref="FUU1:FUX1"/>
    <mergeCell ref="FUY1:FVB1"/>
    <mergeCell ref="FTG1:FTJ1"/>
    <mergeCell ref="FTK1:FTN1"/>
    <mergeCell ref="FTO1:FTR1"/>
    <mergeCell ref="FTS1:FTV1"/>
    <mergeCell ref="FTW1:FTZ1"/>
    <mergeCell ref="FUA1:FUD1"/>
    <mergeCell ref="FSI1:FSL1"/>
    <mergeCell ref="FSM1:FSP1"/>
    <mergeCell ref="FSQ1:FST1"/>
    <mergeCell ref="FSU1:FSX1"/>
    <mergeCell ref="FSY1:FTB1"/>
    <mergeCell ref="FTC1:FTF1"/>
    <mergeCell ref="FRK1:FRN1"/>
    <mergeCell ref="FRO1:FRR1"/>
    <mergeCell ref="FRS1:FRV1"/>
    <mergeCell ref="FRW1:FRZ1"/>
    <mergeCell ref="FSA1:FSD1"/>
    <mergeCell ref="FSE1:FSH1"/>
    <mergeCell ref="FQM1:FQP1"/>
    <mergeCell ref="FQQ1:FQT1"/>
    <mergeCell ref="FQU1:FQX1"/>
    <mergeCell ref="FQY1:FRB1"/>
    <mergeCell ref="FRC1:FRF1"/>
    <mergeCell ref="FRG1:FRJ1"/>
    <mergeCell ref="FPO1:FPR1"/>
    <mergeCell ref="FPS1:FPV1"/>
    <mergeCell ref="FPW1:FPZ1"/>
    <mergeCell ref="FQA1:FQD1"/>
    <mergeCell ref="FQE1:FQH1"/>
    <mergeCell ref="FQI1:FQL1"/>
    <mergeCell ref="FOQ1:FOT1"/>
    <mergeCell ref="FOU1:FOX1"/>
    <mergeCell ref="FOY1:FPB1"/>
    <mergeCell ref="FPC1:FPF1"/>
    <mergeCell ref="FPG1:FPJ1"/>
    <mergeCell ref="FPK1:FPN1"/>
    <mergeCell ref="FNS1:FNV1"/>
    <mergeCell ref="FNW1:FNZ1"/>
    <mergeCell ref="FOA1:FOD1"/>
    <mergeCell ref="FOE1:FOH1"/>
    <mergeCell ref="FOI1:FOL1"/>
    <mergeCell ref="FOM1:FOP1"/>
    <mergeCell ref="FMU1:FMX1"/>
    <mergeCell ref="FMY1:FNB1"/>
    <mergeCell ref="FNC1:FNF1"/>
    <mergeCell ref="FNG1:FNJ1"/>
    <mergeCell ref="FNK1:FNN1"/>
    <mergeCell ref="FNO1:FNR1"/>
    <mergeCell ref="FLW1:FLZ1"/>
    <mergeCell ref="FMA1:FMD1"/>
    <mergeCell ref="FME1:FMH1"/>
    <mergeCell ref="FMI1:FML1"/>
    <mergeCell ref="FMM1:FMP1"/>
    <mergeCell ref="FMQ1:FMT1"/>
    <mergeCell ref="FKY1:FLB1"/>
    <mergeCell ref="FLC1:FLF1"/>
    <mergeCell ref="FLG1:FLJ1"/>
    <mergeCell ref="FLK1:FLN1"/>
    <mergeCell ref="FLO1:FLR1"/>
    <mergeCell ref="FLS1:FLV1"/>
    <mergeCell ref="FKA1:FKD1"/>
    <mergeCell ref="FKE1:FKH1"/>
    <mergeCell ref="FKI1:FKL1"/>
    <mergeCell ref="FKM1:FKP1"/>
    <mergeCell ref="FKQ1:FKT1"/>
    <mergeCell ref="FKU1:FKX1"/>
    <mergeCell ref="FJC1:FJF1"/>
    <mergeCell ref="FJG1:FJJ1"/>
    <mergeCell ref="FJK1:FJN1"/>
    <mergeCell ref="FJO1:FJR1"/>
    <mergeCell ref="FJS1:FJV1"/>
    <mergeCell ref="FJW1:FJZ1"/>
    <mergeCell ref="FIE1:FIH1"/>
    <mergeCell ref="FII1:FIL1"/>
    <mergeCell ref="FIM1:FIP1"/>
    <mergeCell ref="FIQ1:FIT1"/>
    <mergeCell ref="FIU1:FIX1"/>
    <mergeCell ref="FIY1:FJB1"/>
    <mergeCell ref="FHG1:FHJ1"/>
    <mergeCell ref="FHK1:FHN1"/>
    <mergeCell ref="FHO1:FHR1"/>
    <mergeCell ref="FHS1:FHV1"/>
    <mergeCell ref="FHW1:FHZ1"/>
    <mergeCell ref="FIA1:FID1"/>
    <mergeCell ref="FGI1:FGL1"/>
    <mergeCell ref="FGM1:FGP1"/>
    <mergeCell ref="FGQ1:FGT1"/>
    <mergeCell ref="FGU1:FGX1"/>
    <mergeCell ref="FGY1:FHB1"/>
    <mergeCell ref="FHC1:FHF1"/>
    <mergeCell ref="FFK1:FFN1"/>
    <mergeCell ref="FFO1:FFR1"/>
    <mergeCell ref="FFS1:FFV1"/>
    <mergeCell ref="FFW1:FFZ1"/>
    <mergeCell ref="FGA1:FGD1"/>
    <mergeCell ref="FGE1:FGH1"/>
    <mergeCell ref="FEM1:FEP1"/>
    <mergeCell ref="FEQ1:FET1"/>
    <mergeCell ref="FEU1:FEX1"/>
    <mergeCell ref="FEY1:FFB1"/>
    <mergeCell ref="FFC1:FFF1"/>
    <mergeCell ref="FFG1:FFJ1"/>
    <mergeCell ref="FDO1:FDR1"/>
    <mergeCell ref="FDS1:FDV1"/>
    <mergeCell ref="FDW1:FDZ1"/>
    <mergeCell ref="FEA1:FED1"/>
    <mergeCell ref="FEE1:FEH1"/>
    <mergeCell ref="FEI1:FEL1"/>
    <mergeCell ref="FCQ1:FCT1"/>
    <mergeCell ref="FCU1:FCX1"/>
    <mergeCell ref="FCY1:FDB1"/>
    <mergeCell ref="FDC1:FDF1"/>
    <mergeCell ref="FDG1:FDJ1"/>
    <mergeCell ref="FDK1:FDN1"/>
    <mergeCell ref="FBS1:FBV1"/>
    <mergeCell ref="FBW1:FBZ1"/>
    <mergeCell ref="FCA1:FCD1"/>
    <mergeCell ref="FCE1:FCH1"/>
    <mergeCell ref="FCI1:FCL1"/>
    <mergeCell ref="FCM1:FCP1"/>
    <mergeCell ref="FAU1:FAX1"/>
    <mergeCell ref="FAY1:FBB1"/>
    <mergeCell ref="FBC1:FBF1"/>
    <mergeCell ref="FBG1:FBJ1"/>
    <mergeCell ref="FBK1:FBN1"/>
    <mergeCell ref="FBO1:FBR1"/>
    <mergeCell ref="EZW1:EZZ1"/>
    <mergeCell ref="FAA1:FAD1"/>
    <mergeCell ref="FAE1:FAH1"/>
    <mergeCell ref="FAI1:FAL1"/>
    <mergeCell ref="FAM1:FAP1"/>
    <mergeCell ref="FAQ1:FAT1"/>
    <mergeCell ref="EYY1:EZB1"/>
    <mergeCell ref="EZC1:EZF1"/>
    <mergeCell ref="EZG1:EZJ1"/>
    <mergeCell ref="EZK1:EZN1"/>
    <mergeCell ref="EZO1:EZR1"/>
    <mergeCell ref="EZS1:EZV1"/>
    <mergeCell ref="EYA1:EYD1"/>
    <mergeCell ref="EYE1:EYH1"/>
    <mergeCell ref="EYI1:EYL1"/>
    <mergeCell ref="EYM1:EYP1"/>
    <mergeCell ref="EYQ1:EYT1"/>
    <mergeCell ref="EYU1:EYX1"/>
    <mergeCell ref="EXC1:EXF1"/>
    <mergeCell ref="EXG1:EXJ1"/>
    <mergeCell ref="EXK1:EXN1"/>
    <mergeCell ref="EXO1:EXR1"/>
    <mergeCell ref="EXS1:EXV1"/>
    <mergeCell ref="EXW1:EXZ1"/>
    <mergeCell ref="EWE1:EWH1"/>
    <mergeCell ref="EWI1:EWL1"/>
    <mergeCell ref="EWM1:EWP1"/>
    <mergeCell ref="EWQ1:EWT1"/>
    <mergeCell ref="EWU1:EWX1"/>
    <mergeCell ref="EWY1:EXB1"/>
    <mergeCell ref="EVG1:EVJ1"/>
    <mergeCell ref="EVK1:EVN1"/>
    <mergeCell ref="EVO1:EVR1"/>
    <mergeCell ref="EVS1:EVV1"/>
    <mergeCell ref="EVW1:EVZ1"/>
    <mergeCell ref="EWA1:EWD1"/>
    <mergeCell ref="EUI1:EUL1"/>
    <mergeCell ref="EUM1:EUP1"/>
    <mergeCell ref="EUQ1:EUT1"/>
    <mergeCell ref="EUU1:EUX1"/>
    <mergeCell ref="EUY1:EVB1"/>
    <mergeCell ref="EVC1:EVF1"/>
    <mergeCell ref="ETK1:ETN1"/>
    <mergeCell ref="ETO1:ETR1"/>
    <mergeCell ref="ETS1:ETV1"/>
    <mergeCell ref="ETW1:ETZ1"/>
    <mergeCell ref="EUA1:EUD1"/>
    <mergeCell ref="EUE1:EUH1"/>
    <mergeCell ref="ESM1:ESP1"/>
    <mergeCell ref="ESQ1:EST1"/>
    <mergeCell ref="ESU1:ESX1"/>
    <mergeCell ref="ESY1:ETB1"/>
    <mergeCell ref="ETC1:ETF1"/>
    <mergeCell ref="ETG1:ETJ1"/>
    <mergeCell ref="ERO1:ERR1"/>
    <mergeCell ref="ERS1:ERV1"/>
    <mergeCell ref="ERW1:ERZ1"/>
    <mergeCell ref="ESA1:ESD1"/>
    <mergeCell ref="ESE1:ESH1"/>
    <mergeCell ref="ESI1:ESL1"/>
    <mergeCell ref="EQQ1:EQT1"/>
    <mergeCell ref="EQU1:EQX1"/>
    <mergeCell ref="EQY1:ERB1"/>
    <mergeCell ref="ERC1:ERF1"/>
    <mergeCell ref="ERG1:ERJ1"/>
    <mergeCell ref="ERK1:ERN1"/>
    <mergeCell ref="EPS1:EPV1"/>
    <mergeCell ref="EPW1:EPZ1"/>
    <mergeCell ref="EQA1:EQD1"/>
    <mergeCell ref="EQE1:EQH1"/>
    <mergeCell ref="EQI1:EQL1"/>
    <mergeCell ref="EQM1:EQP1"/>
    <mergeCell ref="EOU1:EOX1"/>
    <mergeCell ref="EOY1:EPB1"/>
    <mergeCell ref="EPC1:EPF1"/>
    <mergeCell ref="EPG1:EPJ1"/>
    <mergeCell ref="EPK1:EPN1"/>
    <mergeCell ref="EPO1:EPR1"/>
    <mergeCell ref="ENW1:ENZ1"/>
    <mergeCell ref="EOA1:EOD1"/>
    <mergeCell ref="EOE1:EOH1"/>
    <mergeCell ref="EOI1:EOL1"/>
    <mergeCell ref="EOM1:EOP1"/>
    <mergeCell ref="EOQ1:EOT1"/>
    <mergeCell ref="EMY1:ENB1"/>
    <mergeCell ref="ENC1:ENF1"/>
    <mergeCell ref="ENG1:ENJ1"/>
    <mergeCell ref="ENK1:ENN1"/>
    <mergeCell ref="ENO1:ENR1"/>
    <mergeCell ref="ENS1:ENV1"/>
    <mergeCell ref="EMA1:EMD1"/>
    <mergeCell ref="EME1:EMH1"/>
    <mergeCell ref="EMI1:EML1"/>
    <mergeCell ref="EMM1:EMP1"/>
    <mergeCell ref="EMQ1:EMT1"/>
    <mergeCell ref="EMU1:EMX1"/>
    <mergeCell ref="ELC1:ELF1"/>
    <mergeCell ref="ELG1:ELJ1"/>
    <mergeCell ref="ELK1:ELN1"/>
    <mergeCell ref="ELO1:ELR1"/>
    <mergeCell ref="ELS1:ELV1"/>
    <mergeCell ref="ELW1:ELZ1"/>
    <mergeCell ref="EKE1:EKH1"/>
    <mergeCell ref="EKI1:EKL1"/>
    <mergeCell ref="EKM1:EKP1"/>
    <mergeCell ref="EKQ1:EKT1"/>
    <mergeCell ref="EKU1:EKX1"/>
    <mergeCell ref="EKY1:ELB1"/>
    <mergeCell ref="EJG1:EJJ1"/>
    <mergeCell ref="EJK1:EJN1"/>
    <mergeCell ref="EJO1:EJR1"/>
    <mergeCell ref="EJS1:EJV1"/>
    <mergeCell ref="EJW1:EJZ1"/>
    <mergeCell ref="EKA1:EKD1"/>
    <mergeCell ref="EII1:EIL1"/>
    <mergeCell ref="EIM1:EIP1"/>
    <mergeCell ref="EIQ1:EIT1"/>
    <mergeCell ref="EIU1:EIX1"/>
    <mergeCell ref="EIY1:EJB1"/>
    <mergeCell ref="EJC1:EJF1"/>
    <mergeCell ref="EHK1:EHN1"/>
    <mergeCell ref="EHO1:EHR1"/>
    <mergeCell ref="EHS1:EHV1"/>
    <mergeCell ref="EHW1:EHZ1"/>
    <mergeCell ref="EIA1:EID1"/>
    <mergeCell ref="EIE1:EIH1"/>
    <mergeCell ref="EGM1:EGP1"/>
    <mergeCell ref="EGQ1:EGT1"/>
    <mergeCell ref="EGU1:EGX1"/>
    <mergeCell ref="EGY1:EHB1"/>
    <mergeCell ref="EHC1:EHF1"/>
    <mergeCell ref="EHG1:EHJ1"/>
    <mergeCell ref="EFO1:EFR1"/>
    <mergeCell ref="EFS1:EFV1"/>
    <mergeCell ref="EFW1:EFZ1"/>
    <mergeCell ref="EGA1:EGD1"/>
    <mergeCell ref="EGE1:EGH1"/>
    <mergeCell ref="EGI1:EGL1"/>
    <mergeCell ref="EEQ1:EET1"/>
    <mergeCell ref="EEU1:EEX1"/>
    <mergeCell ref="EEY1:EFB1"/>
    <mergeCell ref="EFC1:EFF1"/>
    <mergeCell ref="EFG1:EFJ1"/>
    <mergeCell ref="EFK1:EFN1"/>
    <mergeCell ref="EDS1:EDV1"/>
    <mergeCell ref="EDW1:EDZ1"/>
    <mergeCell ref="EEA1:EED1"/>
    <mergeCell ref="EEE1:EEH1"/>
    <mergeCell ref="EEI1:EEL1"/>
    <mergeCell ref="EEM1:EEP1"/>
    <mergeCell ref="ECU1:ECX1"/>
    <mergeCell ref="ECY1:EDB1"/>
    <mergeCell ref="EDC1:EDF1"/>
    <mergeCell ref="EDG1:EDJ1"/>
    <mergeCell ref="EDK1:EDN1"/>
    <mergeCell ref="EDO1:EDR1"/>
    <mergeCell ref="EBW1:EBZ1"/>
    <mergeCell ref="ECA1:ECD1"/>
    <mergeCell ref="ECE1:ECH1"/>
    <mergeCell ref="ECI1:ECL1"/>
    <mergeCell ref="ECM1:ECP1"/>
    <mergeCell ref="ECQ1:ECT1"/>
    <mergeCell ref="EAY1:EBB1"/>
    <mergeCell ref="EBC1:EBF1"/>
    <mergeCell ref="EBG1:EBJ1"/>
    <mergeCell ref="EBK1:EBN1"/>
    <mergeCell ref="EBO1:EBR1"/>
    <mergeCell ref="EBS1:EBV1"/>
    <mergeCell ref="EAA1:EAD1"/>
    <mergeCell ref="EAE1:EAH1"/>
    <mergeCell ref="EAI1:EAL1"/>
    <mergeCell ref="EAM1:EAP1"/>
    <mergeCell ref="EAQ1:EAT1"/>
    <mergeCell ref="EAU1:EAX1"/>
    <mergeCell ref="DZC1:DZF1"/>
    <mergeCell ref="DZG1:DZJ1"/>
    <mergeCell ref="DZK1:DZN1"/>
    <mergeCell ref="DZO1:DZR1"/>
    <mergeCell ref="DZS1:DZV1"/>
    <mergeCell ref="DZW1:DZZ1"/>
    <mergeCell ref="DYE1:DYH1"/>
    <mergeCell ref="DYI1:DYL1"/>
    <mergeCell ref="DYM1:DYP1"/>
    <mergeCell ref="DYQ1:DYT1"/>
    <mergeCell ref="DYU1:DYX1"/>
    <mergeCell ref="DYY1:DZB1"/>
    <mergeCell ref="DXG1:DXJ1"/>
    <mergeCell ref="DXK1:DXN1"/>
    <mergeCell ref="DXO1:DXR1"/>
    <mergeCell ref="DXS1:DXV1"/>
    <mergeCell ref="DXW1:DXZ1"/>
    <mergeCell ref="DYA1:DYD1"/>
    <mergeCell ref="DWI1:DWL1"/>
    <mergeCell ref="DWM1:DWP1"/>
    <mergeCell ref="DWQ1:DWT1"/>
    <mergeCell ref="DWU1:DWX1"/>
    <mergeCell ref="DWY1:DXB1"/>
    <mergeCell ref="DXC1:DXF1"/>
    <mergeCell ref="DVK1:DVN1"/>
    <mergeCell ref="DVO1:DVR1"/>
    <mergeCell ref="DVS1:DVV1"/>
    <mergeCell ref="DVW1:DVZ1"/>
    <mergeCell ref="DWA1:DWD1"/>
    <mergeCell ref="DWE1:DWH1"/>
    <mergeCell ref="DUM1:DUP1"/>
    <mergeCell ref="DUQ1:DUT1"/>
    <mergeCell ref="DUU1:DUX1"/>
    <mergeCell ref="DUY1:DVB1"/>
    <mergeCell ref="DVC1:DVF1"/>
    <mergeCell ref="DVG1:DVJ1"/>
    <mergeCell ref="DTO1:DTR1"/>
    <mergeCell ref="DTS1:DTV1"/>
    <mergeCell ref="DTW1:DTZ1"/>
    <mergeCell ref="DUA1:DUD1"/>
    <mergeCell ref="DUE1:DUH1"/>
    <mergeCell ref="DUI1:DUL1"/>
    <mergeCell ref="DSQ1:DST1"/>
    <mergeCell ref="DSU1:DSX1"/>
    <mergeCell ref="DSY1:DTB1"/>
    <mergeCell ref="DTC1:DTF1"/>
    <mergeCell ref="DTG1:DTJ1"/>
    <mergeCell ref="DTK1:DTN1"/>
    <mergeCell ref="DRS1:DRV1"/>
    <mergeCell ref="DRW1:DRZ1"/>
    <mergeCell ref="DSA1:DSD1"/>
    <mergeCell ref="DSE1:DSH1"/>
    <mergeCell ref="DSI1:DSL1"/>
    <mergeCell ref="DSM1:DSP1"/>
    <mergeCell ref="DQU1:DQX1"/>
    <mergeCell ref="DQY1:DRB1"/>
    <mergeCell ref="DRC1:DRF1"/>
    <mergeCell ref="DRG1:DRJ1"/>
    <mergeCell ref="DRK1:DRN1"/>
    <mergeCell ref="DRO1:DRR1"/>
    <mergeCell ref="DPW1:DPZ1"/>
    <mergeCell ref="DQA1:DQD1"/>
    <mergeCell ref="DQE1:DQH1"/>
    <mergeCell ref="DQI1:DQL1"/>
    <mergeCell ref="DQM1:DQP1"/>
    <mergeCell ref="DQQ1:DQT1"/>
    <mergeCell ref="DOY1:DPB1"/>
    <mergeCell ref="DPC1:DPF1"/>
    <mergeCell ref="DPG1:DPJ1"/>
    <mergeCell ref="DPK1:DPN1"/>
    <mergeCell ref="DPO1:DPR1"/>
    <mergeCell ref="DPS1:DPV1"/>
    <mergeCell ref="DOA1:DOD1"/>
    <mergeCell ref="DOE1:DOH1"/>
    <mergeCell ref="DOI1:DOL1"/>
    <mergeCell ref="DOM1:DOP1"/>
    <mergeCell ref="DOQ1:DOT1"/>
    <mergeCell ref="DOU1:DOX1"/>
    <mergeCell ref="DNC1:DNF1"/>
    <mergeCell ref="DNG1:DNJ1"/>
    <mergeCell ref="DNK1:DNN1"/>
    <mergeCell ref="DNO1:DNR1"/>
    <mergeCell ref="DNS1:DNV1"/>
    <mergeCell ref="DNW1:DNZ1"/>
    <mergeCell ref="DME1:DMH1"/>
    <mergeCell ref="DMI1:DML1"/>
    <mergeCell ref="DMM1:DMP1"/>
    <mergeCell ref="DMQ1:DMT1"/>
    <mergeCell ref="DMU1:DMX1"/>
    <mergeCell ref="DMY1:DNB1"/>
    <mergeCell ref="DLG1:DLJ1"/>
    <mergeCell ref="DLK1:DLN1"/>
    <mergeCell ref="DLO1:DLR1"/>
    <mergeCell ref="DLS1:DLV1"/>
    <mergeCell ref="DLW1:DLZ1"/>
    <mergeCell ref="DMA1:DMD1"/>
    <mergeCell ref="DKI1:DKL1"/>
    <mergeCell ref="DKM1:DKP1"/>
    <mergeCell ref="DKQ1:DKT1"/>
    <mergeCell ref="DKU1:DKX1"/>
    <mergeCell ref="DKY1:DLB1"/>
    <mergeCell ref="DLC1:DLF1"/>
    <mergeCell ref="DJK1:DJN1"/>
    <mergeCell ref="DJO1:DJR1"/>
    <mergeCell ref="DJS1:DJV1"/>
    <mergeCell ref="DJW1:DJZ1"/>
    <mergeCell ref="DKA1:DKD1"/>
    <mergeCell ref="DKE1:DKH1"/>
    <mergeCell ref="DIM1:DIP1"/>
    <mergeCell ref="DIQ1:DIT1"/>
    <mergeCell ref="DIU1:DIX1"/>
    <mergeCell ref="DIY1:DJB1"/>
    <mergeCell ref="DJC1:DJF1"/>
    <mergeCell ref="DJG1:DJJ1"/>
    <mergeCell ref="DHO1:DHR1"/>
    <mergeCell ref="DHS1:DHV1"/>
    <mergeCell ref="DHW1:DHZ1"/>
    <mergeCell ref="DIA1:DID1"/>
    <mergeCell ref="DIE1:DIH1"/>
    <mergeCell ref="DII1:DIL1"/>
    <mergeCell ref="DGQ1:DGT1"/>
    <mergeCell ref="DGU1:DGX1"/>
    <mergeCell ref="DGY1:DHB1"/>
    <mergeCell ref="DHC1:DHF1"/>
    <mergeCell ref="DHG1:DHJ1"/>
    <mergeCell ref="DHK1:DHN1"/>
    <mergeCell ref="DFS1:DFV1"/>
    <mergeCell ref="DFW1:DFZ1"/>
    <mergeCell ref="DGA1:DGD1"/>
    <mergeCell ref="DGE1:DGH1"/>
    <mergeCell ref="DGI1:DGL1"/>
    <mergeCell ref="DGM1:DGP1"/>
    <mergeCell ref="DEU1:DEX1"/>
    <mergeCell ref="DEY1:DFB1"/>
    <mergeCell ref="DFC1:DFF1"/>
    <mergeCell ref="DFG1:DFJ1"/>
    <mergeCell ref="DFK1:DFN1"/>
    <mergeCell ref="DFO1:DFR1"/>
    <mergeCell ref="DDW1:DDZ1"/>
    <mergeCell ref="DEA1:DED1"/>
    <mergeCell ref="DEE1:DEH1"/>
    <mergeCell ref="DEI1:DEL1"/>
    <mergeCell ref="DEM1:DEP1"/>
    <mergeCell ref="DEQ1:DET1"/>
    <mergeCell ref="DCY1:DDB1"/>
    <mergeCell ref="DDC1:DDF1"/>
    <mergeCell ref="DDG1:DDJ1"/>
    <mergeCell ref="DDK1:DDN1"/>
    <mergeCell ref="DDO1:DDR1"/>
    <mergeCell ref="DDS1:DDV1"/>
    <mergeCell ref="DCA1:DCD1"/>
    <mergeCell ref="DCE1:DCH1"/>
    <mergeCell ref="DCI1:DCL1"/>
    <mergeCell ref="DCM1:DCP1"/>
    <mergeCell ref="DCQ1:DCT1"/>
    <mergeCell ref="DCU1:DCX1"/>
    <mergeCell ref="DBC1:DBF1"/>
    <mergeCell ref="DBG1:DBJ1"/>
    <mergeCell ref="DBK1:DBN1"/>
    <mergeCell ref="DBO1:DBR1"/>
    <mergeCell ref="DBS1:DBV1"/>
    <mergeCell ref="DBW1:DBZ1"/>
    <mergeCell ref="DAE1:DAH1"/>
    <mergeCell ref="DAI1:DAL1"/>
    <mergeCell ref="DAM1:DAP1"/>
    <mergeCell ref="DAQ1:DAT1"/>
    <mergeCell ref="DAU1:DAX1"/>
    <mergeCell ref="DAY1:DBB1"/>
    <mergeCell ref="CZG1:CZJ1"/>
    <mergeCell ref="CZK1:CZN1"/>
    <mergeCell ref="CZO1:CZR1"/>
    <mergeCell ref="CZS1:CZV1"/>
    <mergeCell ref="CZW1:CZZ1"/>
    <mergeCell ref="DAA1:DAD1"/>
    <mergeCell ref="CYI1:CYL1"/>
    <mergeCell ref="CYM1:CYP1"/>
    <mergeCell ref="CYQ1:CYT1"/>
    <mergeCell ref="CYU1:CYX1"/>
    <mergeCell ref="CYY1:CZB1"/>
    <mergeCell ref="CZC1:CZF1"/>
    <mergeCell ref="CXK1:CXN1"/>
    <mergeCell ref="CXO1:CXR1"/>
    <mergeCell ref="CXS1:CXV1"/>
    <mergeCell ref="CXW1:CXZ1"/>
    <mergeCell ref="CYA1:CYD1"/>
    <mergeCell ref="CYE1:CYH1"/>
    <mergeCell ref="CWM1:CWP1"/>
    <mergeCell ref="CWQ1:CWT1"/>
    <mergeCell ref="CWU1:CWX1"/>
    <mergeCell ref="CWY1:CXB1"/>
    <mergeCell ref="CXC1:CXF1"/>
    <mergeCell ref="CXG1:CXJ1"/>
    <mergeCell ref="CVO1:CVR1"/>
    <mergeCell ref="CVS1:CVV1"/>
    <mergeCell ref="CVW1:CVZ1"/>
    <mergeCell ref="CWA1:CWD1"/>
    <mergeCell ref="CWE1:CWH1"/>
    <mergeCell ref="CWI1:CWL1"/>
    <mergeCell ref="CUQ1:CUT1"/>
    <mergeCell ref="CUU1:CUX1"/>
    <mergeCell ref="CUY1:CVB1"/>
    <mergeCell ref="CVC1:CVF1"/>
    <mergeCell ref="CVG1:CVJ1"/>
    <mergeCell ref="CVK1:CVN1"/>
    <mergeCell ref="CTS1:CTV1"/>
    <mergeCell ref="CTW1:CTZ1"/>
    <mergeCell ref="CUA1:CUD1"/>
    <mergeCell ref="CUE1:CUH1"/>
    <mergeCell ref="CUI1:CUL1"/>
    <mergeCell ref="CUM1:CUP1"/>
    <mergeCell ref="CSU1:CSX1"/>
    <mergeCell ref="CSY1:CTB1"/>
    <mergeCell ref="CTC1:CTF1"/>
    <mergeCell ref="CTG1:CTJ1"/>
    <mergeCell ref="CTK1:CTN1"/>
    <mergeCell ref="CTO1:CTR1"/>
    <mergeCell ref="CRW1:CRZ1"/>
    <mergeCell ref="CSA1:CSD1"/>
    <mergeCell ref="CSE1:CSH1"/>
    <mergeCell ref="CSI1:CSL1"/>
    <mergeCell ref="CSM1:CSP1"/>
    <mergeCell ref="CSQ1:CST1"/>
    <mergeCell ref="CQY1:CRB1"/>
    <mergeCell ref="CRC1:CRF1"/>
    <mergeCell ref="CRG1:CRJ1"/>
    <mergeCell ref="CRK1:CRN1"/>
    <mergeCell ref="CRO1:CRR1"/>
    <mergeCell ref="CRS1:CRV1"/>
    <mergeCell ref="CQA1:CQD1"/>
    <mergeCell ref="CQE1:CQH1"/>
    <mergeCell ref="CQI1:CQL1"/>
    <mergeCell ref="CQM1:CQP1"/>
    <mergeCell ref="CQQ1:CQT1"/>
    <mergeCell ref="CQU1:CQX1"/>
    <mergeCell ref="CPC1:CPF1"/>
    <mergeCell ref="CPG1:CPJ1"/>
    <mergeCell ref="CPK1:CPN1"/>
    <mergeCell ref="CPO1:CPR1"/>
    <mergeCell ref="CPS1:CPV1"/>
    <mergeCell ref="CPW1:CPZ1"/>
    <mergeCell ref="COE1:COH1"/>
    <mergeCell ref="COI1:COL1"/>
    <mergeCell ref="COM1:COP1"/>
    <mergeCell ref="COQ1:COT1"/>
    <mergeCell ref="COU1:COX1"/>
    <mergeCell ref="COY1:CPB1"/>
    <mergeCell ref="CNG1:CNJ1"/>
    <mergeCell ref="CNK1:CNN1"/>
    <mergeCell ref="CNO1:CNR1"/>
    <mergeCell ref="CNS1:CNV1"/>
    <mergeCell ref="CNW1:CNZ1"/>
    <mergeCell ref="COA1:COD1"/>
    <mergeCell ref="CMI1:CML1"/>
    <mergeCell ref="CMM1:CMP1"/>
    <mergeCell ref="CMQ1:CMT1"/>
    <mergeCell ref="CMU1:CMX1"/>
    <mergeCell ref="CMY1:CNB1"/>
    <mergeCell ref="CNC1:CNF1"/>
    <mergeCell ref="CLK1:CLN1"/>
    <mergeCell ref="CLO1:CLR1"/>
    <mergeCell ref="CLS1:CLV1"/>
    <mergeCell ref="CLW1:CLZ1"/>
    <mergeCell ref="CMA1:CMD1"/>
    <mergeCell ref="CME1:CMH1"/>
    <mergeCell ref="CKM1:CKP1"/>
    <mergeCell ref="CKQ1:CKT1"/>
    <mergeCell ref="CKU1:CKX1"/>
    <mergeCell ref="CKY1:CLB1"/>
    <mergeCell ref="CLC1:CLF1"/>
    <mergeCell ref="CLG1:CLJ1"/>
    <mergeCell ref="CJO1:CJR1"/>
    <mergeCell ref="CJS1:CJV1"/>
    <mergeCell ref="CJW1:CJZ1"/>
    <mergeCell ref="CKA1:CKD1"/>
    <mergeCell ref="CKE1:CKH1"/>
    <mergeCell ref="CKI1:CKL1"/>
    <mergeCell ref="CIQ1:CIT1"/>
    <mergeCell ref="CIU1:CIX1"/>
    <mergeCell ref="CIY1:CJB1"/>
    <mergeCell ref="CJC1:CJF1"/>
    <mergeCell ref="CJG1:CJJ1"/>
    <mergeCell ref="CJK1:CJN1"/>
    <mergeCell ref="CHS1:CHV1"/>
    <mergeCell ref="CHW1:CHZ1"/>
    <mergeCell ref="CIA1:CID1"/>
    <mergeCell ref="CIE1:CIH1"/>
    <mergeCell ref="CII1:CIL1"/>
    <mergeCell ref="CIM1:CIP1"/>
    <mergeCell ref="CGU1:CGX1"/>
    <mergeCell ref="CGY1:CHB1"/>
    <mergeCell ref="CHC1:CHF1"/>
    <mergeCell ref="CHG1:CHJ1"/>
    <mergeCell ref="CHK1:CHN1"/>
    <mergeCell ref="CHO1:CHR1"/>
    <mergeCell ref="CFW1:CFZ1"/>
    <mergeCell ref="CGA1:CGD1"/>
    <mergeCell ref="CGE1:CGH1"/>
    <mergeCell ref="CGI1:CGL1"/>
    <mergeCell ref="CGM1:CGP1"/>
    <mergeCell ref="CGQ1:CGT1"/>
    <mergeCell ref="CEY1:CFB1"/>
    <mergeCell ref="CFC1:CFF1"/>
    <mergeCell ref="CFG1:CFJ1"/>
    <mergeCell ref="CFK1:CFN1"/>
    <mergeCell ref="CFO1:CFR1"/>
    <mergeCell ref="CFS1:CFV1"/>
    <mergeCell ref="CEA1:CED1"/>
    <mergeCell ref="CEE1:CEH1"/>
    <mergeCell ref="CEI1:CEL1"/>
    <mergeCell ref="CEM1:CEP1"/>
    <mergeCell ref="CEQ1:CET1"/>
    <mergeCell ref="CEU1:CEX1"/>
    <mergeCell ref="CDC1:CDF1"/>
    <mergeCell ref="CDG1:CDJ1"/>
    <mergeCell ref="CDK1:CDN1"/>
    <mergeCell ref="CDO1:CDR1"/>
    <mergeCell ref="CDS1:CDV1"/>
    <mergeCell ref="CDW1:CDZ1"/>
    <mergeCell ref="CCE1:CCH1"/>
    <mergeCell ref="CCI1:CCL1"/>
    <mergeCell ref="CCM1:CCP1"/>
    <mergeCell ref="CCQ1:CCT1"/>
    <mergeCell ref="CCU1:CCX1"/>
    <mergeCell ref="CCY1:CDB1"/>
    <mergeCell ref="CBG1:CBJ1"/>
    <mergeCell ref="CBK1:CBN1"/>
    <mergeCell ref="CBO1:CBR1"/>
    <mergeCell ref="CBS1:CBV1"/>
    <mergeCell ref="CBW1:CBZ1"/>
    <mergeCell ref="CCA1:CCD1"/>
    <mergeCell ref="CAI1:CAL1"/>
    <mergeCell ref="CAM1:CAP1"/>
    <mergeCell ref="CAQ1:CAT1"/>
    <mergeCell ref="CAU1:CAX1"/>
    <mergeCell ref="CAY1:CBB1"/>
    <mergeCell ref="CBC1:CBF1"/>
    <mergeCell ref="BZK1:BZN1"/>
    <mergeCell ref="BZO1:BZR1"/>
    <mergeCell ref="BZS1:BZV1"/>
    <mergeCell ref="BZW1:BZZ1"/>
    <mergeCell ref="CAA1:CAD1"/>
    <mergeCell ref="CAE1:CAH1"/>
    <mergeCell ref="BYM1:BYP1"/>
    <mergeCell ref="BYQ1:BYT1"/>
    <mergeCell ref="BYU1:BYX1"/>
    <mergeCell ref="BYY1:BZB1"/>
    <mergeCell ref="BZC1:BZF1"/>
    <mergeCell ref="BZG1:BZJ1"/>
    <mergeCell ref="BXO1:BXR1"/>
    <mergeCell ref="BXS1:BXV1"/>
    <mergeCell ref="BXW1:BXZ1"/>
    <mergeCell ref="BYA1:BYD1"/>
    <mergeCell ref="BYE1:BYH1"/>
    <mergeCell ref="BYI1:BYL1"/>
    <mergeCell ref="BWQ1:BWT1"/>
    <mergeCell ref="BWU1:BWX1"/>
    <mergeCell ref="BWY1:BXB1"/>
    <mergeCell ref="BXC1:BXF1"/>
    <mergeCell ref="BXG1:BXJ1"/>
    <mergeCell ref="BXK1:BXN1"/>
    <mergeCell ref="BVS1:BVV1"/>
    <mergeCell ref="BVW1:BVZ1"/>
    <mergeCell ref="BWA1:BWD1"/>
    <mergeCell ref="BWE1:BWH1"/>
    <mergeCell ref="BWI1:BWL1"/>
    <mergeCell ref="BWM1:BWP1"/>
    <mergeCell ref="BUU1:BUX1"/>
    <mergeCell ref="BUY1:BVB1"/>
    <mergeCell ref="BVC1:BVF1"/>
    <mergeCell ref="BVG1:BVJ1"/>
    <mergeCell ref="BVK1:BVN1"/>
    <mergeCell ref="BVO1:BVR1"/>
    <mergeCell ref="BTW1:BTZ1"/>
    <mergeCell ref="BUA1:BUD1"/>
    <mergeCell ref="BUE1:BUH1"/>
    <mergeCell ref="BUI1:BUL1"/>
    <mergeCell ref="BUM1:BUP1"/>
    <mergeCell ref="BUQ1:BUT1"/>
    <mergeCell ref="BSY1:BTB1"/>
    <mergeCell ref="BTC1:BTF1"/>
    <mergeCell ref="BTG1:BTJ1"/>
    <mergeCell ref="BTK1:BTN1"/>
    <mergeCell ref="BTO1:BTR1"/>
    <mergeCell ref="BTS1:BTV1"/>
    <mergeCell ref="BSA1:BSD1"/>
    <mergeCell ref="BSE1:BSH1"/>
    <mergeCell ref="BSI1:BSL1"/>
    <mergeCell ref="BSM1:BSP1"/>
    <mergeCell ref="BSQ1:BST1"/>
    <mergeCell ref="BSU1:BSX1"/>
    <mergeCell ref="BRC1:BRF1"/>
    <mergeCell ref="BRG1:BRJ1"/>
    <mergeCell ref="BRK1:BRN1"/>
    <mergeCell ref="BRO1:BRR1"/>
    <mergeCell ref="BRS1:BRV1"/>
    <mergeCell ref="BRW1:BRZ1"/>
    <mergeCell ref="BQE1:BQH1"/>
    <mergeCell ref="BQI1:BQL1"/>
    <mergeCell ref="BQM1:BQP1"/>
    <mergeCell ref="BQQ1:BQT1"/>
    <mergeCell ref="BQU1:BQX1"/>
    <mergeCell ref="BQY1:BRB1"/>
    <mergeCell ref="BPG1:BPJ1"/>
    <mergeCell ref="BPK1:BPN1"/>
    <mergeCell ref="BPO1:BPR1"/>
    <mergeCell ref="BPS1:BPV1"/>
    <mergeCell ref="BPW1:BPZ1"/>
    <mergeCell ref="BQA1:BQD1"/>
    <mergeCell ref="BOI1:BOL1"/>
    <mergeCell ref="BOM1:BOP1"/>
    <mergeCell ref="BOQ1:BOT1"/>
    <mergeCell ref="BOU1:BOX1"/>
    <mergeCell ref="BOY1:BPB1"/>
    <mergeCell ref="BPC1:BPF1"/>
    <mergeCell ref="BNK1:BNN1"/>
    <mergeCell ref="BNO1:BNR1"/>
    <mergeCell ref="BNS1:BNV1"/>
    <mergeCell ref="BNW1:BNZ1"/>
    <mergeCell ref="BOA1:BOD1"/>
    <mergeCell ref="BOE1:BOH1"/>
    <mergeCell ref="BMM1:BMP1"/>
    <mergeCell ref="BMQ1:BMT1"/>
    <mergeCell ref="BMU1:BMX1"/>
    <mergeCell ref="BMY1:BNB1"/>
    <mergeCell ref="BNC1:BNF1"/>
    <mergeCell ref="BNG1:BNJ1"/>
    <mergeCell ref="BLO1:BLR1"/>
    <mergeCell ref="BLS1:BLV1"/>
    <mergeCell ref="BLW1:BLZ1"/>
    <mergeCell ref="BMA1:BMD1"/>
    <mergeCell ref="BME1:BMH1"/>
    <mergeCell ref="BMI1:BML1"/>
    <mergeCell ref="BKQ1:BKT1"/>
    <mergeCell ref="BKU1:BKX1"/>
    <mergeCell ref="BKY1:BLB1"/>
    <mergeCell ref="BLC1:BLF1"/>
    <mergeCell ref="BLG1:BLJ1"/>
    <mergeCell ref="BLK1:BLN1"/>
    <mergeCell ref="BJS1:BJV1"/>
    <mergeCell ref="BJW1:BJZ1"/>
    <mergeCell ref="BKA1:BKD1"/>
    <mergeCell ref="BKE1:BKH1"/>
    <mergeCell ref="BKI1:BKL1"/>
    <mergeCell ref="BKM1:BKP1"/>
    <mergeCell ref="BIU1:BIX1"/>
    <mergeCell ref="BIY1:BJB1"/>
    <mergeCell ref="BJC1:BJF1"/>
    <mergeCell ref="BJG1:BJJ1"/>
    <mergeCell ref="BJK1:BJN1"/>
    <mergeCell ref="BJO1:BJR1"/>
    <mergeCell ref="BHW1:BHZ1"/>
    <mergeCell ref="BIA1:BID1"/>
    <mergeCell ref="BIE1:BIH1"/>
    <mergeCell ref="BII1:BIL1"/>
    <mergeCell ref="BIM1:BIP1"/>
    <mergeCell ref="BIQ1:BIT1"/>
    <mergeCell ref="BGY1:BHB1"/>
    <mergeCell ref="BHC1:BHF1"/>
    <mergeCell ref="BHG1:BHJ1"/>
    <mergeCell ref="BHK1:BHN1"/>
    <mergeCell ref="BHO1:BHR1"/>
    <mergeCell ref="BHS1:BHV1"/>
    <mergeCell ref="BGA1:BGD1"/>
    <mergeCell ref="BGE1:BGH1"/>
    <mergeCell ref="BGI1:BGL1"/>
    <mergeCell ref="BGM1:BGP1"/>
    <mergeCell ref="BGQ1:BGT1"/>
    <mergeCell ref="BGU1:BGX1"/>
    <mergeCell ref="BFC1:BFF1"/>
    <mergeCell ref="BFG1:BFJ1"/>
    <mergeCell ref="BFK1:BFN1"/>
    <mergeCell ref="BFO1:BFR1"/>
    <mergeCell ref="BFS1:BFV1"/>
    <mergeCell ref="BFW1:BFZ1"/>
    <mergeCell ref="BEE1:BEH1"/>
    <mergeCell ref="BEI1:BEL1"/>
    <mergeCell ref="BEM1:BEP1"/>
    <mergeCell ref="BEQ1:BET1"/>
    <mergeCell ref="BEU1:BEX1"/>
    <mergeCell ref="BEY1:BFB1"/>
    <mergeCell ref="BDG1:BDJ1"/>
    <mergeCell ref="BDK1:BDN1"/>
    <mergeCell ref="BDO1:BDR1"/>
    <mergeCell ref="BDS1:BDV1"/>
    <mergeCell ref="BDW1:BDZ1"/>
    <mergeCell ref="BEA1:BED1"/>
    <mergeCell ref="BCI1:BCL1"/>
    <mergeCell ref="BCM1:BCP1"/>
    <mergeCell ref="BCQ1:BCT1"/>
    <mergeCell ref="BCU1:BCX1"/>
    <mergeCell ref="BCY1:BDB1"/>
    <mergeCell ref="BDC1:BDF1"/>
    <mergeCell ref="BBK1:BBN1"/>
    <mergeCell ref="BBO1:BBR1"/>
    <mergeCell ref="BBS1:BBV1"/>
    <mergeCell ref="BBW1:BBZ1"/>
    <mergeCell ref="BCA1:BCD1"/>
    <mergeCell ref="BCE1:BCH1"/>
    <mergeCell ref="BAM1:BAP1"/>
    <mergeCell ref="BAQ1:BAT1"/>
    <mergeCell ref="BAU1:BAX1"/>
    <mergeCell ref="BAY1:BBB1"/>
    <mergeCell ref="BBC1:BBF1"/>
    <mergeCell ref="BBG1:BBJ1"/>
    <mergeCell ref="AZO1:AZR1"/>
    <mergeCell ref="AZS1:AZV1"/>
    <mergeCell ref="AZW1:AZZ1"/>
    <mergeCell ref="BAA1:BAD1"/>
    <mergeCell ref="BAE1:BAH1"/>
    <mergeCell ref="BAI1:BAL1"/>
    <mergeCell ref="AYQ1:AYT1"/>
    <mergeCell ref="AYU1:AYX1"/>
    <mergeCell ref="AYY1:AZB1"/>
    <mergeCell ref="AZC1:AZF1"/>
    <mergeCell ref="AZG1:AZJ1"/>
    <mergeCell ref="AZK1:AZN1"/>
    <mergeCell ref="AXS1:AXV1"/>
    <mergeCell ref="AXW1:AXZ1"/>
    <mergeCell ref="AYA1:AYD1"/>
    <mergeCell ref="AYE1:AYH1"/>
    <mergeCell ref="AYI1:AYL1"/>
    <mergeCell ref="AYM1:AYP1"/>
    <mergeCell ref="AWU1:AWX1"/>
    <mergeCell ref="AWY1:AXB1"/>
    <mergeCell ref="AXC1:AXF1"/>
    <mergeCell ref="AXG1:AXJ1"/>
    <mergeCell ref="AXK1:AXN1"/>
    <mergeCell ref="AXO1:AXR1"/>
    <mergeCell ref="AVW1:AVZ1"/>
    <mergeCell ref="AWA1:AWD1"/>
    <mergeCell ref="AWE1:AWH1"/>
    <mergeCell ref="AWI1:AWL1"/>
    <mergeCell ref="AWM1:AWP1"/>
    <mergeCell ref="AWQ1:AWT1"/>
    <mergeCell ref="AUY1:AVB1"/>
    <mergeCell ref="AVC1:AVF1"/>
    <mergeCell ref="AVG1:AVJ1"/>
    <mergeCell ref="AVK1:AVN1"/>
    <mergeCell ref="AVO1:AVR1"/>
    <mergeCell ref="AVS1:AVV1"/>
    <mergeCell ref="AUA1:AUD1"/>
    <mergeCell ref="AUE1:AUH1"/>
    <mergeCell ref="AUI1:AUL1"/>
    <mergeCell ref="AUM1:AUP1"/>
    <mergeCell ref="AUQ1:AUT1"/>
    <mergeCell ref="AUU1:AUX1"/>
    <mergeCell ref="ATC1:ATF1"/>
    <mergeCell ref="ATG1:ATJ1"/>
    <mergeCell ref="ATK1:ATN1"/>
    <mergeCell ref="ATO1:ATR1"/>
    <mergeCell ref="ATS1:ATV1"/>
    <mergeCell ref="ATW1:ATZ1"/>
    <mergeCell ref="ASE1:ASH1"/>
    <mergeCell ref="ASI1:ASL1"/>
    <mergeCell ref="ASM1:ASP1"/>
    <mergeCell ref="ASQ1:AST1"/>
    <mergeCell ref="ASU1:ASX1"/>
    <mergeCell ref="ASY1:ATB1"/>
    <mergeCell ref="ARG1:ARJ1"/>
    <mergeCell ref="ARK1:ARN1"/>
    <mergeCell ref="ARO1:ARR1"/>
    <mergeCell ref="ARS1:ARV1"/>
    <mergeCell ref="ARW1:ARZ1"/>
    <mergeCell ref="ASA1:ASD1"/>
    <mergeCell ref="AQI1:AQL1"/>
    <mergeCell ref="AQM1:AQP1"/>
    <mergeCell ref="AQQ1:AQT1"/>
    <mergeCell ref="AQU1:AQX1"/>
    <mergeCell ref="AQY1:ARB1"/>
    <mergeCell ref="ARC1:ARF1"/>
    <mergeCell ref="APK1:APN1"/>
    <mergeCell ref="APO1:APR1"/>
    <mergeCell ref="APS1:APV1"/>
    <mergeCell ref="APW1:APZ1"/>
    <mergeCell ref="AQA1:AQD1"/>
    <mergeCell ref="AQE1:AQH1"/>
    <mergeCell ref="AOM1:AOP1"/>
    <mergeCell ref="AOQ1:AOT1"/>
    <mergeCell ref="AOU1:AOX1"/>
    <mergeCell ref="AOY1:APB1"/>
    <mergeCell ref="APC1:APF1"/>
    <mergeCell ref="APG1:APJ1"/>
    <mergeCell ref="ANO1:ANR1"/>
    <mergeCell ref="ANS1:ANV1"/>
    <mergeCell ref="ANW1:ANZ1"/>
    <mergeCell ref="AOA1:AOD1"/>
    <mergeCell ref="AOE1:AOH1"/>
    <mergeCell ref="AOI1:AOL1"/>
    <mergeCell ref="AMQ1:AMT1"/>
    <mergeCell ref="AMU1:AMX1"/>
    <mergeCell ref="AMY1:ANB1"/>
    <mergeCell ref="ANC1:ANF1"/>
    <mergeCell ref="ANG1:ANJ1"/>
    <mergeCell ref="ANK1:ANN1"/>
    <mergeCell ref="ALS1:ALV1"/>
    <mergeCell ref="ALW1:ALZ1"/>
    <mergeCell ref="AMA1:AMD1"/>
    <mergeCell ref="AME1:AMH1"/>
    <mergeCell ref="AMI1:AML1"/>
    <mergeCell ref="AMM1:AMP1"/>
    <mergeCell ref="AKU1:AKX1"/>
    <mergeCell ref="AKY1:ALB1"/>
    <mergeCell ref="ALC1:ALF1"/>
    <mergeCell ref="ALG1:ALJ1"/>
    <mergeCell ref="ALK1:ALN1"/>
    <mergeCell ref="ALO1:ALR1"/>
    <mergeCell ref="AJW1:AJZ1"/>
    <mergeCell ref="AKA1:AKD1"/>
    <mergeCell ref="AKE1:AKH1"/>
    <mergeCell ref="AKI1:AKL1"/>
    <mergeCell ref="AKM1:AKP1"/>
    <mergeCell ref="AKQ1:AKT1"/>
    <mergeCell ref="AIY1:AJB1"/>
    <mergeCell ref="AJC1:AJF1"/>
    <mergeCell ref="AJG1:AJJ1"/>
    <mergeCell ref="AJK1:AJN1"/>
    <mergeCell ref="AJO1:AJR1"/>
    <mergeCell ref="AJS1:AJV1"/>
    <mergeCell ref="AIA1:AID1"/>
    <mergeCell ref="AIE1:AIH1"/>
    <mergeCell ref="AII1:AIL1"/>
    <mergeCell ref="AIM1:AIP1"/>
    <mergeCell ref="AIQ1:AIT1"/>
    <mergeCell ref="AIU1:AIX1"/>
    <mergeCell ref="AHC1:AHF1"/>
    <mergeCell ref="AHG1:AHJ1"/>
    <mergeCell ref="AHK1:AHN1"/>
    <mergeCell ref="AHO1:AHR1"/>
    <mergeCell ref="AHS1:AHV1"/>
    <mergeCell ref="AHW1:AHZ1"/>
    <mergeCell ref="AGE1:AGH1"/>
    <mergeCell ref="AGI1:AGL1"/>
    <mergeCell ref="AGM1:AGP1"/>
    <mergeCell ref="AGQ1:AGT1"/>
    <mergeCell ref="AGU1:AGX1"/>
    <mergeCell ref="AGY1:AHB1"/>
    <mergeCell ref="AFG1:AFJ1"/>
    <mergeCell ref="AFK1:AFN1"/>
    <mergeCell ref="AFO1:AFR1"/>
    <mergeCell ref="AFS1:AFV1"/>
    <mergeCell ref="AFW1:AFZ1"/>
    <mergeCell ref="AGA1:AGD1"/>
    <mergeCell ref="AEI1:AEL1"/>
    <mergeCell ref="AEM1:AEP1"/>
    <mergeCell ref="AEQ1:AET1"/>
    <mergeCell ref="AEU1:AEX1"/>
    <mergeCell ref="AEY1:AFB1"/>
    <mergeCell ref="AFC1:AFF1"/>
    <mergeCell ref="ADK1:ADN1"/>
    <mergeCell ref="ADO1:ADR1"/>
    <mergeCell ref="ADS1:ADV1"/>
    <mergeCell ref="ADW1:ADZ1"/>
    <mergeCell ref="AEA1:AED1"/>
    <mergeCell ref="AEE1:AEH1"/>
    <mergeCell ref="ACM1:ACP1"/>
    <mergeCell ref="ACQ1:ACT1"/>
    <mergeCell ref="ACU1:ACX1"/>
    <mergeCell ref="ACY1:ADB1"/>
    <mergeCell ref="ADC1:ADF1"/>
    <mergeCell ref="ADG1:ADJ1"/>
    <mergeCell ref="ABO1:ABR1"/>
    <mergeCell ref="ABS1:ABV1"/>
    <mergeCell ref="ABW1:ABZ1"/>
    <mergeCell ref="ACA1:ACD1"/>
    <mergeCell ref="ACE1:ACH1"/>
    <mergeCell ref="ACI1:ACL1"/>
    <mergeCell ref="AAQ1:AAT1"/>
    <mergeCell ref="AAU1:AAX1"/>
    <mergeCell ref="AAY1:ABB1"/>
    <mergeCell ref="ABC1:ABF1"/>
    <mergeCell ref="ABG1:ABJ1"/>
    <mergeCell ref="ABK1:ABN1"/>
    <mergeCell ref="ZS1:ZV1"/>
    <mergeCell ref="ZW1:ZZ1"/>
    <mergeCell ref="AAA1:AAD1"/>
    <mergeCell ref="AAE1:AAH1"/>
    <mergeCell ref="AAI1:AAL1"/>
    <mergeCell ref="AAM1:AAP1"/>
    <mergeCell ref="YU1:YX1"/>
    <mergeCell ref="YY1:ZB1"/>
    <mergeCell ref="ZC1:ZF1"/>
    <mergeCell ref="ZG1:ZJ1"/>
    <mergeCell ref="ZK1:ZN1"/>
    <mergeCell ref="ZO1:ZR1"/>
    <mergeCell ref="XW1:XZ1"/>
    <mergeCell ref="YA1:YD1"/>
    <mergeCell ref="YE1:YH1"/>
    <mergeCell ref="YI1:YL1"/>
    <mergeCell ref="YM1:YP1"/>
    <mergeCell ref="YQ1:YT1"/>
    <mergeCell ref="WY1:XB1"/>
    <mergeCell ref="XC1:XF1"/>
    <mergeCell ref="XG1:XJ1"/>
    <mergeCell ref="XK1:XN1"/>
    <mergeCell ref="XO1:XR1"/>
    <mergeCell ref="XS1:XV1"/>
    <mergeCell ref="WA1:WD1"/>
    <mergeCell ref="WE1:WH1"/>
    <mergeCell ref="WI1:WL1"/>
    <mergeCell ref="WM1:WP1"/>
    <mergeCell ref="WQ1:WT1"/>
    <mergeCell ref="WU1:WX1"/>
    <mergeCell ref="VC1:VF1"/>
    <mergeCell ref="VG1:VJ1"/>
    <mergeCell ref="VK1:VN1"/>
    <mergeCell ref="VO1:VR1"/>
    <mergeCell ref="VS1:VV1"/>
    <mergeCell ref="VW1:VZ1"/>
    <mergeCell ref="UE1:UH1"/>
    <mergeCell ref="UI1:UL1"/>
    <mergeCell ref="UM1:UP1"/>
    <mergeCell ref="UQ1:UT1"/>
    <mergeCell ref="UU1:UX1"/>
    <mergeCell ref="UY1:VB1"/>
    <mergeCell ref="TG1:TJ1"/>
    <mergeCell ref="TK1:TN1"/>
    <mergeCell ref="TO1:TR1"/>
    <mergeCell ref="TS1:TV1"/>
    <mergeCell ref="TW1:TZ1"/>
    <mergeCell ref="UA1:UD1"/>
    <mergeCell ref="SI1:SL1"/>
    <mergeCell ref="SM1:SP1"/>
    <mergeCell ref="SQ1:ST1"/>
    <mergeCell ref="SU1:SX1"/>
    <mergeCell ref="SY1:TB1"/>
    <mergeCell ref="TC1:TF1"/>
    <mergeCell ref="RK1:RN1"/>
    <mergeCell ref="RO1:RR1"/>
    <mergeCell ref="RS1:RV1"/>
    <mergeCell ref="RW1:RZ1"/>
    <mergeCell ref="SA1:SD1"/>
    <mergeCell ref="SE1:SH1"/>
    <mergeCell ref="QM1:QP1"/>
    <mergeCell ref="QQ1:QT1"/>
    <mergeCell ref="QU1:QX1"/>
    <mergeCell ref="QY1:RB1"/>
    <mergeCell ref="RC1:RF1"/>
    <mergeCell ref="RG1:RJ1"/>
    <mergeCell ref="PO1:PR1"/>
    <mergeCell ref="PS1:PV1"/>
    <mergeCell ref="PW1:PZ1"/>
    <mergeCell ref="QA1:QD1"/>
    <mergeCell ref="QE1:QH1"/>
    <mergeCell ref="QI1:QL1"/>
    <mergeCell ref="OQ1:OT1"/>
    <mergeCell ref="OU1:OX1"/>
    <mergeCell ref="OY1:PB1"/>
    <mergeCell ref="PC1:PF1"/>
    <mergeCell ref="PG1:PJ1"/>
    <mergeCell ref="PK1:PN1"/>
    <mergeCell ref="NS1:NV1"/>
    <mergeCell ref="NW1:NZ1"/>
    <mergeCell ref="OA1:OD1"/>
    <mergeCell ref="OE1:OH1"/>
    <mergeCell ref="OI1:OL1"/>
    <mergeCell ref="OM1:OP1"/>
    <mergeCell ref="MU1:MX1"/>
    <mergeCell ref="MY1:NB1"/>
    <mergeCell ref="NC1:NF1"/>
    <mergeCell ref="NG1:NJ1"/>
    <mergeCell ref="NK1:NN1"/>
    <mergeCell ref="NO1:NR1"/>
    <mergeCell ref="LW1:LZ1"/>
    <mergeCell ref="MA1:MD1"/>
    <mergeCell ref="ME1:MH1"/>
    <mergeCell ref="MI1:ML1"/>
    <mergeCell ref="MM1:MP1"/>
    <mergeCell ref="MQ1:MT1"/>
    <mergeCell ref="KY1:LB1"/>
    <mergeCell ref="LC1:LF1"/>
    <mergeCell ref="LG1:LJ1"/>
    <mergeCell ref="LK1:LN1"/>
    <mergeCell ref="LO1:LR1"/>
    <mergeCell ref="LS1:LV1"/>
    <mergeCell ref="KA1:KD1"/>
    <mergeCell ref="KE1:KH1"/>
    <mergeCell ref="KI1:KL1"/>
    <mergeCell ref="KM1:KP1"/>
    <mergeCell ref="KQ1:KT1"/>
    <mergeCell ref="KU1:KX1"/>
    <mergeCell ref="JC1:JF1"/>
    <mergeCell ref="JG1:JJ1"/>
    <mergeCell ref="JK1:JN1"/>
    <mergeCell ref="JO1:JR1"/>
    <mergeCell ref="JS1:JV1"/>
    <mergeCell ref="JW1:JZ1"/>
    <mergeCell ref="IE1:IH1"/>
    <mergeCell ref="II1:IL1"/>
    <mergeCell ref="IM1:IP1"/>
    <mergeCell ref="IQ1:IT1"/>
    <mergeCell ref="IU1:IX1"/>
    <mergeCell ref="IY1:JB1"/>
    <mergeCell ref="HG1:HJ1"/>
    <mergeCell ref="HK1:HN1"/>
    <mergeCell ref="HO1:HR1"/>
    <mergeCell ref="HS1:HV1"/>
    <mergeCell ref="HW1:HZ1"/>
    <mergeCell ref="IA1:ID1"/>
    <mergeCell ref="GI1:GL1"/>
    <mergeCell ref="GM1:GP1"/>
    <mergeCell ref="GQ1:GT1"/>
    <mergeCell ref="GU1:GX1"/>
    <mergeCell ref="GY1:HB1"/>
    <mergeCell ref="HC1:HF1"/>
    <mergeCell ref="FK1:FN1"/>
    <mergeCell ref="FO1:FR1"/>
    <mergeCell ref="FS1:FV1"/>
    <mergeCell ref="FW1:FZ1"/>
    <mergeCell ref="GA1:GD1"/>
    <mergeCell ref="GE1:GH1"/>
    <mergeCell ref="EM1:EP1"/>
    <mergeCell ref="EQ1:ET1"/>
    <mergeCell ref="EU1:EX1"/>
    <mergeCell ref="EY1:FB1"/>
    <mergeCell ref="FC1:FF1"/>
    <mergeCell ref="FG1:FJ1"/>
    <mergeCell ref="DO1:DR1"/>
    <mergeCell ref="DS1:DV1"/>
    <mergeCell ref="DW1:DZ1"/>
    <mergeCell ref="EA1:ED1"/>
    <mergeCell ref="EE1:EH1"/>
    <mergeCell ref="EI1:EL1"/>
    <mergeCell ref="CQ1:CT1"/>
    <mergeCell ref="CU1:CX1"/>
    <mergeCell ref="CY1:DB1"/>
    <mergeCell ref="DC1:DF1"/>
    <mergeCell ref="DG1:DJ1"/>
    <mergeCell ref="DK1:DN1"/>
    <mergeCell ref="G1:J1"/>
    <mergeCell ref="K1:N1"/>
    <mergeCell ref="O1:R1"/>
    <mergeCell ref="S1:V1"/>
    <mergeCell ref="BS1:BV1"/>
    <mergeCell ref="BW1:BZ1"/>
    <mergeCell ref="CA1:CD1"/>
    <mergeCell ref="CE1:CH1"/>
    <mergeCell ref="CI1:CL1"/>
    <mergeCell ref="CM1:CP1"/>
    <mergeCell ref="AU1:AX1"/>
    <mergeCell ref="AY1:BB1"/>
    <mergeCell ref="BC1:BF1"/>
    <mergeCell ref="BG1:BJ1"/>
    <mergeCell ref="BK1:BN1"/>
    <mergeCell ref="BO1:BR1"/>
    <mergeCell ref="W1:Z1"/>
    <mergeCell ref="AA1:AD1"/>
    <mergeCell ref="AE1:AH1"/>
    <mergeCell ref="AI1:AL1"/>
    <mergeCell ref="AM1:AP1"/>
    <mergeCell ref="AQ1:AT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0B54F-FC58-452A-84FE-CF0A991E44EF}">
  <sheetPr>
    <tabColor theme="4" tint="-0.249977111117893"/>
  </sheetPr>
  <dimension ref="A1:XFB70"/>
  <sheetViews>
    <sheetView tabSelected="1" zoomScaleNormal="100" workbookViewId="0">
      <pane xSplit="1" ySplit="3" topLeftCell="B55" activePane="bottomRight" state="frozen"/>
      <selection pane="topRight" activeCell="B1" sqref="B1"/>
      <selection pane="bottomLeft" activeCell="A4" sqref="A4"/>
      <selection pane="bottomRight" activeCell="D70" sqref="D70"/>
    </sheetView>
  </sheetViews>
  <sheetFormatPr defaultColWidth="12.6640625" defaultRowHeight="13.8" x14ac:dyDescent="0.3"/>
  <cols>
    <col min="1" max="1" width="34.77734375" style="347" customWidth="1"/>
    <col min="2" max="2" width="15.33203125" style="347" customWidth="1"/>
    <col min="3" max="3" width="12.6640625" style="347"/>
    <col min="4" max="4" width="36.109375" style="416" customWidth="1"/>
    <col min="5" max="5" width="8.33203125" style="409" customWidth="1"/>
    <col min="6" max="6" width="16.44140625" style="347" customWidth="1"/>
    <col min="7" max="16384" width="12.6640625" style="347"/>
  </cols>
  <sheetData>
    <row r="1" spans="1:16382" s="394" customFormat="1" ht="14.4" x14ac:dyDescent="0.3">
      <c r="A1" s="395" t="s">
        <v>2850</v>
      </c>
      <c r="B1" s="395"/>
      <c r="C1" s="395"/>
      <c r="D1" s="418"/>
      <c r="E1" s="400"/>
      <c r="F1" s="396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  <c r="AT1" s="434"/>
      <c r="AU1" s="434"/>
      <c r="AV1" s="434"/>
      <c r="AW1" s="434"/>
      <c r="AX1" s="434"/>
      <c r="AY1" s="434"/>
      <c r="AZ1" s="434"/>
      <c r="BA1" s="434"/>
      <c r="BB1" s="434"/>
      <c r="BC1" s="434"/>
      <c r="BD1" s="434"/>
      <c r="BE1" s="434"/>
      <c r="BF1" s="434"/>
      <c r="BG1" s="434"/>
      <c r="BH1" s="434"/>
      <c r="BI1" s="434"/>
      <c r="BJ1" s="434"/>
      <c r="BK1" s="434"/>
      <c r="BL1" s="434"/>
      <c r="BM1" s="434"/>
      <c r="BN1" s="434"/>
      <c r="BO1" s="434"/>
      <c r="BP1" s="434"/>
      <c r="BQ1" s="434"/>
      <c r="BR1" s="434"/>
      <c r="BS1" s="434"/>
      <c r="BT1" s="434"/>
      <c r="BU1" s="434"/>
      <c r="BV1" s="434"/>
      <c r="BW1" s="434"/>
      <c r="BX1" s="434"/>
      <c r="BY1" s="434"/>
      <c r="BZ1" s="434"/>
      <c r="CA1" s="434"/>
      <c r="CB1" s="434"/>
      <c r="CC1" s="434"/>
      <c r="CD1" s="434"/>
      <c r="CE1" s="434"/>
      <c r="CF1" s="434"/>
      <c r="CG1" s="434"/>
      <c r="CH1" s="434"/>
      <c r="CI1" s="434"/>
      <c r="CJ1" s="434"/>
      <c r="CK1" s="434"/>
      <c r="CL1" s="434"/>
      <c r="CM1" s="434"/>
      <c r="CN1" s="434"/>
      <c r="CO1" s="434"/>
      <c r="CP1" s="434"/>
      <c r="CQ1" s="434"/>
      <c r="CR1" s="434"/>
      <c r="CS1" s="434"/>
      <c r="CT1" s="434"/>
      <c r="CU1" s="434"/>
      <c r="CV1" s="434"/>
      <c r="CW1" s="434"/>
      <c r="CX1" s="434"/>
      <c r="CY1" s="434"/>
      <c r="CZ1" s="434"/>
      <c r="DA1" s="434"/>
      <c r="DB1" s="434"/>
      <c r="DC1" s="434"/>
      <c r="DD1" s="434"/>
      <c r="DE1" s="434"/>
      <c r="DF1" s="434"/>
      <c r="DG1" s="434"/>
      <c r="DH1" s="434"/>
      <c r="DI1" s="434"/>
      <c r="DJ1" s="434"/>
      <c r="DK1" s="434"/>
      <c r="DL1" s="434"/>
      <c r="DM1" s="434"/>
      <c r="DN1" s="434"/>
      <c r="DO1" s="434"/>
      <c r="DP1" s="434"/>
      <c r="DQ1" s="434"/>
      <c r="DR1" s="434"/>
      <c r="DS1" s="434"/>
      <c r="DT1" s="434"/>
      <c r="DU1" s="434"/>
      <c r="DV1" s="434"/>
      <c r="DW1" s="434"/>
      <c r="DX1" s="434"/>
      <c r="DY1" s="434"/>
      <c r="DZ1" s="434"/>
      <c r="EA1" s="434"/>
      <c r="EB1" s="434"/>
      <c r="EC1" s="434"/>
      <c r="ED1" s="434"/>
      <c r="EE1" s="434"/>
      <c r="EF1" s="434"/>
      <c r="EG1" s="434"/>
      <c r="EH1" s="434"/>
      <c r="EI1" s="434"/>
      <c r="EJ1" s="434"/>
      <c r="EK1" s="434"/>
      <c r="EL1" s="434"/>
      <c r="EM1" s="434"/>
      <c r="EN1" s="434"/>
      <c r="EO1" s="434"/>
      <c r="EP1" s="434"/>
      <c r="EQ1" s="434"/>
      <c r="ER1" s="434"/>
      <c r="ES1" s="434"/>
      <c r="ET1" s="434"/>
      <c r="EU1" s="434"/>
      <c r="EV1" s="434"/>
      <c r="EW1" s="434"/>
      <c r="EX1" s="434"/>
      <c r="EY1" s="434"/>
      <c r="EZ1" s="434"/>
      <c r="FA1" s="434"/>
      <c r="FB1" s="434"/>
      <c r="FC1" s="434"/>
      <c r="FD1" s="434"/>
      <c r="FE1" s="434"/>
      <c r="FF1" s="434"/>
      <c r="FG1" s="434"/>
      <c r="FH1" s="434"/>
      <c r="FI1" s="434"/>
      <c r="FJ1" s="434"/>
      <c r="FK1" s="434"/>
      <c r="FL1" s="434"/>
      <c r="FM1" s="434"/>
      <c r="FN1" s="434"/>
      <c r="FO1" s="434"/>
      <c r="FP1" s="434"/>
      <c r="FQ1" s="434"/>
      <c r="FR1" s="434"/>
      <c r="FS1" s="434"/>
      <c r="FT1" s="434"/>
      <c r="FU1" s="434"/>
      <c r="FV1" s="434"/>
      <c r="FW1" s="434"/>
      <c r="FX1" s="434"/>
      <c r="FY1" s="434"/>
      <c r="FZ1" s="434"/>
      <c r="GA1" s="434"/>
      <c r="GB1" s="434"/>
      <c r="GC1" s="434"/>
      <c r="GD1" s="434"/>
      <c r="GE1" s="434"/>
      <c r="GF1" s="434"/>
      <c r="GG1" s="434"/>
      <c r="GH1" s="434"/>
      <c r="GI1" s="434"/>
      <c r="GJ1" s="434"/>
      <c r="GK1" s="434"/>
      <c r="GL1" s="434"/>
      <c r="GM1" s="434"/>
      <c r="GN1" s="434"/>
      <c r="GO1" s="434"/>
      <c r="GP1" s="434"/>
      <c r="GQ1" s="434"/>
      <c r="GR1" s="434"/>
      <c r="GS1" s="434"/>
      <c r="GT1" s="434"/>
      <c r="GU1" s="434"/>
      <c r="GV1" s="434"/>
      <c r="GW1" s="434"/>
      <c r="GX1" s="434"/>
      <c r="GY1" s="434"/>
      <c r="GZ1" s="434"/>
      <c r="HA1" s="434"/>
      <c r="HB1" s="434"/>
      <c r="HC1" s="434"/>
      <c r="HD1" s="434"/>
      <c r="HE1" s="434"/>
      <c r="HF1" s="434"/>
      <c r="HG1" s="434"/>
      <c r="HH1" s="434"/>
      <c r="HI1" s="434"/>
      <c r="HJ1" s="434"/>
      <c r="HK1" s="434"/>
      <c r="HL1" s="434"/>
      <c r="HM1" s="434"/>
      <c r="HN1" s="434"/>
      <c r="HO1" s="434"/>
      <c r="HP1" s="434"/>
      <c r="HQ1" s="434"/>
      <c r="HR1" s="434"/>
      <c r="HS1" s="434"/>
      <c r="HT1" s="434"/>
      <c r="HU1" s="434"/>
      <c r="HV1" s="434"/>
      <c r="HW1" s="434"/>
      <c r="HX1" s="434"/>
      <c r="HY1" s="434"/>
      <c r="HZ1" s="434"/>
      <c r="IA1" s="434"/>
      <c r="IB1" s="434"/>
      <c r="IC1" s="434"/>
      <c r="ID1" s="434"/>
      <c r="IE1" s="434"/>
      <c r="IF1" s="434"/>
      <c r="IG1" s="434"/>
      <c r="IH1" s="434"/>
      <c r="II1" s="434"/>
      <c r="IJ1" s="434"/>
      <c r="IK1" s="434"/>
      <c r="IL1" s="434"/>
      <c r="IM1" s="434"/>
      <c r="IN1" s="434"/>
      <c r="IO1" s="434"/>
      <c r="IP1" s="434"/>
      <c r="IQ1" s="434"/>
      <c r="IR1" s="434"/>
      <c r="IS1" s="434"/>
      <c r="IT1" s="434"/>
      <c r="IU1" s="434"/>
      <c r="IV1" s="434"/>
      <c r="IW1" s="434"/>
      <c r="IX1" s="434"/>
      <c r="IY1" s="434"/>
      <c r="IZ1" s="434"/>
      <c r="JA1" s="434"/>
      <c r="JB1" s="434"/>
      <c r="JC1" s="434"/>
      <c r="JD1" s="434"/>
      <c r="JE1" s="434"/>
      <c r="JF1" s="434"/>
      <c r="JG1" s="434"/>
      <c r="JH1" s="434"/>
      <c r="JI1" s="434"/>
      <c r="JJ1" s="434"/>
      <c r="JK1" s="434"/>
      <c r="JL1" s="434"/>
      <c r="JM1" s="434"/>
      <c r="JN1" s="434"/>
      <c r="JO1" s="434"/>
      <c r="JP1" s="434"/>
      <c r="JQ1" s="434"/>
      <c r="JR1" s="434"/>
      <c r="JS1" s="434"/>
      <c r="JT1" s="434"/>
      <c r="JU1" s="434"/>
      <c r="JV1" s="434"/>
      <c r="JW1" s="434"/>
      <c r="JX1" s="434"/>
      <c r="JY1" s="434"/>
      <c r="JZ1" s="434"/>
      <c r="KA1" s="434"/>
      <c r="KB1" s="434"/>
      <c r="KC1" s="434"/>
      <c r="KD1" s="434"/>
      <c r="KE1" s="434"/>
      <c r="KF1" s="434"/>
      <c r="KG1" s="434"/>
      <c r="KH1" s="434"/>
      <c r="KI1" s="434"/>
      <c r="KJ1" s="434"/>
      <c r="KK1" s="434"/>
      <c r="KL1" s="434"/>
      <c r="KM1" s="434"/>
      <c r="KN1" s="434"/>
      <c r="KO1" s="434"/>
      <c r="KP1" s="434"/>
      <c r="KQ1" s="434"/>
      <c r="KR1" s="434"/>
      <c r="KS1" s="434"/>
      <c r="KT1" s="434"/>
      <c r="KU1" s="434"/>
      <c r="KV1" s="434"/>
      <c r="KW1" s="434"/>
      <c r="KX1" s="434"/>
      <c r="KY1" s="434"/>
      <c r="KZ1" s="434"/>
      <c r="LA1" s="434"/>
      <c r="LB1" s="434"/>
      <c r="LC1" s="434"/>
      <c r="LD1" s="434"/>
      <c r="LE1" s="434"/>
      <c r="LF1" s="434"/>
      <c r="LG1" s="434"/>
      <c r="LH1" s="434"/>
      <c r="LI1" s="434"/>
      <c r="LJ1" s="434"/>
      <c r="LK1" s="434"/>
      <c r="LL1" s="434"/>
      <c r="LM1" s="434"/>
      <c r="LN1" s="434"/>
      <c r="LO1" s="434"/>
      <c r="LP1" s="434"/>
      <c r="LQ1" s="434"/>
      <c r="LR1" s="434"/>
      <c r="LS1" s="434"/>
      <c r="LT1" s="434"/>
      <c r="LU1" s="434"/>
      <c r="LV1" s="434"/>
      <c r="LW1" s="434"/>
      <c r="LX1" s="434"/>
      <c r="LY1" s="434"/>
      <c r="LZ1" s="434"/>
      <c r="MA1" s="434"/>
      <c r="MB1" s="434"/>
      <c r="MC1" s="434"/>
      <c r="MD1" s="434"/>
      <c r="ME1" s="434"/>
      <c r="MF1" s="434"/>
      <c r="MG1" s="434"/>
      <c r="MH1" s="434"/>
      <c r="MI1" s="434"/>
      <c r="MJ1" s="434"/>
      <c r="MK1" s="434"/>
      <c r="ML1" s="434"/>
      <c r="MM1" s="434"/>
      <c r="MN1" s="434"/>
      <c r="MO1" s="434"/>
      <c r="MP1" s="434"/>
      <c r="MQ1" s="434"/>
      <c r="MR1" s="434"/>
      <c r="MS1" s="434"/>
      <c r="MT1" s="434"/>
      <c r="MU1" s="434"/>
      <c r="MV1" s="434"/>
      <c r="MW1" s="434"/>
      <c r="MX1" s="434"/>
      <c r="MY1" s="434"/>
      <c r="MZ1" s="434"/>
      <c r="NA1" s="434"/>
      <c r="NB1" s="434"/>
      <c r="NC1" s="434"/>
      <c r="ND1" s="434"/>
      <c r="NE1" s="434"/>
      <c r="NF1" s="434"/>
      <c r="NG1" s="434"/>
      <c r="NH1" s="434"/>
      <c r="NI1" s="434"/>
      <c r="NJ1" s="434"/>
      <c r="NK1" s="434"/>
      <c r="NL1" s="434"/>
      <c r="NM1" s="434"/>
      <c r="NN1" s="434"/>
      <c r="NO1" s="434"/>
      <c r="NP1" s="434"/>
      <c r="NQ1" s="434"/>
      <c r="NR1" s="434"/>
      <c r="NS1" s="434"/>
      <c r="NT1" s="434"/>
      <c r="NU1" s="434"/>
      <c r="NV1" s="434"/>
      <c r="NW1" s="434"/>
      <c r="NX1" s="434"/>
      <c r="NY1" s="434"/>
      <c r="NZ1" s="434"/>
      <c r="OA1" s="434"/>
      <c r="OB1" s="434"/>
      <c r="OC1" s="434"/>
      <c r="OD1" s="434"/>
      <c r="OE1" s="434"/>
      <c r="OF1" s="434"/>
      <c r="OG1" s="434"/>
      <c r="OH1" s="434"/>
      <c r="OI1" s="434"/>
      <c r="OJ1" s="434"/>
      <c r="OK1" s="434"/>
      <c r="OL1" s="434"/>
      <c r="OM1" s="434"/>
      <c r="ON1" s="434"/>
      <c r="OO1" s="434"/>
      <c r="OP1" s="434"/>
      <c r="OQ1" s="434"/>
      <c r="OR1" s="434"/>
      <c r="OS1" s="434"/>
      <c r="OT1" s="434"/>
      <c r="OU1" s="434"/>
      <c r="OV1" s="434"/>
      <c r="OW1" s="434"/>
      <c r="OX1" s="434"/>
      <c r="OY1" s="434"/>
      <c r="OZ1" s="434"/>
      <c r="PA1" s="434"/>
      <c r="PB1" s="434"/>
      <c r="PC1" s="434"/>
      <c r="PD1" s="434"/>
      <c r="PE1" s="434"/>
      <c r="PF1" s="434"/>
      <c r="PG1" s="434"/>
      <c r="PH1" s="434"/>
      <c r="PI1" s="434"/>
      <c r="PJ1" s="434"/>
      <c r="PK1" s="434"/>
      <c r="PL1" s="434"/>
      <c r="PM1" s="434"/>
      <c r="PN1" s="434"/>
      <c r="PO1" s="434"/>
      <c r="PP1" s="434"/>
      <c r="PQ1" s="434"/>
      <c r="PR1" s="434"/>
      <c r="PS1" s="434"/>
      <c r="PT1" s="434"/>
      <c r="PU1" s="434"/>
      <c r="PV1" s="434"/>
      <c r="PW1" s="434"/>
      <c r="PX1" s="434"/>
      <c r="PY1" s="434"/>
      <c r="PZ1" s="434"/>
      <c r="QA1" s="434"/>
      <c r="QB1" s="434"/>
      <c r="QC1" s="434"/>
      <c r="QD1" s="434"/>
      <c r="QE1" s="434"/>
      <c r="QF1" s="434"/>
      <c r="QG1" s="434"/>
      <c r="QH1" s="434"/>
      <c r="QI1" s="434"/>
      <c r="QJ1" s="434"/>
      <c r="QK1" s="434"/>
      <c r="QL1" s="434"/>
      <c r="QM1" s="434"/>
      <c r="QN1" s="434"/>
      <c r="QO1" s="434"/>
      <c r="QP1" s="434"/>
      <c r="QQ1" s="434"/>
      <c r="QR1" s="434"/>
      <c r="QS1" s="434"/>
      <c r="QT1" s="434"/>
      <c r="QU1" s="434"/>
      <c r="QV1" s="434"/>
      <c r="QW1" s="434"/>
      <c r="QX1" s="434"/>
      <c r="QY1" s="434"/>
      <c r="QZ1" s="434"/>
      <c r="RA1" s="434"/>
      <c r="RB1" s="434"/>
      <c r="RC1" s="434"/>
      <c r="RD1" s="434"/>
      <c r="RE1" s="434"/>
      <c r="RF1" s="434"/>
      <c r="RG1" s="434"/>
      <c r="RH1" s="434"/>
      <c r="RI1" s="434"/>
      <c r="RJ1" s="434"/>
      <c r="RK1" s="434"/>
      <c r="RL1" s="434"/>
      <c r="RM1" s="434"/>
      <c r="RN1" s="434"/>
      <c r="RO1" s="434"/>
      <c r="RP1" s="434"/>
      <c r="RQ1" s="434"/>
      <c r="RR1" s="434"/>
      <c r="RS1" s="434"/>
      <c r="RT1" s="434"/>
      <c r="RU1" s="434"/>
      <c r="RV1" s="434"/>
      <c r="RW1" s="434"/>
      <c r="RX1" s="434"/>
      <c r="RY1" s="434"/>
      <c r="RZ1" s="434"/>
      <c r="SA1" s="434"/>
      <c r="SB1" s="434"/>
      <c r="SC1" s="434"/>
      <c r="SD1" s="434"/>
      <c r="SE1" s="434"/>
      <c r="SF1" s="434"/>
      <c r="SG1" s="434"/>
      <c r="SH1" s="434"/>
      <c r="SI1" s="434"/>
      <c r="SJ1" s="434"/>
      <c r="SK1" s="434"/>
      <c r="SL1" s="434"/>
      <c r="SM1" s="434"/>
      <c r="SN1" s="434"/>
      <c r="SO1" s="434"/>
      <c r="SP1" s="434"/>
      <c r="SQ1" s="434"/>
      <c r="SR1" s="434"/>
      <c r="SS1" s="434"/>
      <c r="ST1" s="434"/>
      <c r="SU1" s="434"/>
      <c r="SV1" s="434"/>
      <c r="SW1" s="434"/>
      <c r="SX1" s="434"/>
      <c r="SY1" s="434"/>
      <c r="SZ1" s="434"/>
      <c r="TA1" s="434"/>
      <c r="TB1" s="434"/>
      <c r="TC1" s="434"/>
      <c r="TD1" s="434"/>
      <c r="TE1" s="434"/>
      <c r="TF1" s="434"/>
      <c r="TG1" s="434"/>
      <c r="TH1" s="434"/>
      <c r="TI1" s="434"/>
      <c r="TJ1" s="434"/>
      <c r="TK1" s="434"/>
      <c r="TL1" s="434"/>
      <c r="TM1" s="434"/>
      <c r="TN1" s="434"/>
      <c r="TO1" s="434"/>
      <c r="TP1" s="434"/>
      <c r="TQ1" s="434"/>
      <c r="TR1" s="434"/>
      <c r="TS1" s="434"/>
      <c r="TT1" s="434"/>
      <c r="TU1" s="434"/>
      <c r="TV1" s="434"/>
      <c r="TW1" s="434"/>
      <c r="TX1" s="434"/>
      <c r="TY1" s="434"/>
      <c r="TZ1" s="434"/>
      <c r="UA1" s="434"/>
      <c r="UB1" s="434"/>
      <c r="UC1" s="434"/>
      <c r="UD1" s="434"/>
      <c r="UE1" s="434"/>
      <c r="UF1" s="434"/>
      <c r="UG1" s="434"/>
      <c r="UH1" s="434"/>
      <c r="UI1" s="434"/>
      <c r="UJ1" s="434"/>
      <c r="UK1" s="434"/>
      <c r="UL1" s="434"/>
      <c r="UM1" s="434"/>
      <c r="UN1" s="434"/>
      <c r="UO1" s="434"/>
      <c r="UP1" s="434"/>
      <c r="UQ1" s="434"/>
      <c r="UR1" s="434"/>
      <c r="US1" s="434"/>
      <c r="UT1" s="434"/>
      <c r="UU1" s="434"/>
      <c r="UV1" s="434"/>
      <c r="UW1" s="434"/>
      <c r="UX1" s="434"/>
      <c r="UY1" s="434"/>
      <c r="UZ1" s="434"/>
      <c r="VA1" s="434"/>
      <c r="VB1" s="434"/>
      <c r="VC1" s="434"/>
      <c r="VD1" s="434"/>
      <c r="VE1" s="434"/>
      <c r="VF1" s="434"/>
      <c r="VG1" s="434"/>
      <c r="VH1" s="434"/>
      <c r="VI1" s="434"/>
      <c r="VJ1" s="434"/>
      <c r="VK1" s="434"/>
      <c r="VL1" s="434"/>
      <c r="VM1" s="434"/>
      <c r="VN1" s="434"/>
      <c r="VO1" s="434"/>
      <c r="VP1" s="434"/>
      <c r="VQ1" s="434"/>
      <c r="VR1" s="434"/>
      <c r="VS1" s="434"/>
      <c r="VT1" s="434"/>
      <c r="VU1" s="434"/>
      <c r="VV1" s="434"/>
      <c r="VW1" s="434"/>
      <c r="VX1" s="434"/>
      <c r="VY1" s="434"/>
      <c r="VZ1" s="434"/>
      <c r="WA1" s="434"/>
      <c r="WB1" s="434"/>
      <c r="WC1" s="434"/>
      <c r="WD1" s="434"/>
      <c r="WE1" s="434"/>
      <c r="WF1" s="434"/>
      <c r="WG1" s="434"/>
      <c r="WH1" s="434"/>
      <c r="WI1" s="434"/>
      <c r="WJ1" s="434"/>
      <c r="WK1" s="434"/>
      <c r="WL1" s="434"/>
      <c r="WM1" s="434"/>
      <c r="WN1" s="434"/>
      <c r="WO1" s="434"/>
      <c r="WP1" s="434"/>
      <c r="WQ1" s="434"/>
      <c r="WR1" s="434"/>
      <c r="WS1" s="434"/>
      <c r="WT1" s="434"/>
      <c r="WU1" s="434"/>
      <c r="WV1" s="434"/>
      <c r="WW1" s="434"/>
      <c r="WX1" s="434"/>
      <c r="WY1" s="434"/>
      <c r="WZ1" s="434"/>
      <c r="XA1" s="434"/>
      <c r="XB1" s="434"/>
      <c r="XC1" s="434"/>
      <c r="XD1" s="434"/>
      <c r="XE1" s="434"/>
      <c r="XF1" s="434"/>
      <c r="XG1" s="434"/>
      <c r="XH1" s="434"/>
      <c r="XI1" s="434"/>
      <c r="XJ1" s="434"/>
      <c r="XK1" s="434"/>
      <c r="XL1" s="434"/>
      <c r="XM1" s="434"/>
      <c r="XN1" s="434"/>
      <c r="XO1" s="434"/>
      <c r="XP1" s="434"/>
      <c r="XQ1" s="434"/>
      <c r="XR1" s="434"/>
      <c r="XS1" s="434"/>
      <c r="XT1" s="434"/>
      <c r="XU1" s="434"/>
      <c r="XV1" s="434"/>
      <c r="XW1" s="434"/>
      <c r="XX1" s="434"/>
      <c r="XY1" s="434"/>
      <c r="XZ1" s="434"/>
      <c r="YA1" s="434"/>
      <c r="YB1" s="434"/>
      <c r="YC1" s="434"/>
      <c r="YD1" s="434"/>
      <c r="YE1" s="434"/>
      <c r="YF1" s="434"/>
      <c r="YG1" s="434"/>
      <c r="YH1" s="434"/>
      <c r="YI1" s="434"/>
      <c r="YJ1" s="434"/>
      <c r="YK1" s="434"/>
      <c r="YL1" s="434"/>
      <c r="YM1" s="434"/>
      <c r="YN1" s="434"/>
      <c r="YO1" s="434"/>
      <c r="YP1" s="434"/>
      <c r="YQ1" s="434"/>
      <c r="YR1" s="434"/>
      <c r="YS1" s="434"/>
      <c r="YT1" s="434"/>
      <c r="YU1" s="434"/>
      <c r="YV1" s="434"/>
      <c r="YW1" s="434"/>
      <c r="YX1" s="434"/>
      <c r="YY1" s="434"/>
      <c r="YZ1" s="434"/>
      <c r="ZA1" s="434"/>
      <c r="ZB1" s="434"/>
      <c r="ZC1" s="434"/>
      <c r="ZD1" s="434"/>
      <c r="ZE1" s="434"/>
      <c r="ZF1" s="434"/>
      <c r="ZG1" s="434"/>
      <c r="ZH1" s="434"/>
      <c r="ZI1" s="434"/>
      <c r="ZJ1" s="434"/>
      <c r="ZK1" s="434"/>
      <c r="ZL1" s="434"/>
      <c r="ZM1" s="434"/>
      <c r="ZN1" s="434"/>
      <c r="ZO1" s="434"/>
      <c r="ZP1" s="434"/>
      <c r="ZQ1" s="434"/>
      <c r="ZR1" s="434"/>
      <c r="ZS1" s="434"/>
      <c r="ZT1" s="434"/>
      <c r="ZU1" s="434"/>
      <c r="ZV1" s="434"/>
      <c r="ZW1" s="434"/>
      <c r="ZX1" s="434"/>
      <c r="ZY1" s="434"/>
      <c r="ZZ1" s="434"/>
      <c r="AAA1" s="434"/>
      <c r="AAB1" s="434"/>
      <c r="AAC1" s="434"/>
      <c r="AAD1" s="434"/>
      <c r="AAE1" s="434"/>
      <c r="AAF1" s="434"/>
      <c r="AAG1" s="434"/>
      <c r="AAH1" s="434"/>
      <c r="AAI1" s="434"/>
      <c r="AAJ1" s="434"/>
      <c r="AAK1" s="434"/>
      <c r="AAL1" s="434"/>
      <c r="AAM1" s="434"/>
      <c r="AAN1" s="434"/>
      <c r="AAO1" s="434"/>
      <c r="AAP1" s="434"/>
      <c r="AAQ1" s="434"/>
      <c r="AAR1" s="434"/>
      <c r="AAS1" s="434"/>
      <c r="AAT1" s="434"/>
      <c r="AAU1" s="434"/>
      <c r="AAV1" s="434"/>
      <c r="AAW1" s="434"/>
      <c r="AAX1" s="434"/>
      <c r="AAY1" s="434"/>
      <c r="AAZ1" s="434"/>
      <c r="ABA1" s="434"/>
      <c r="ABB1" s="434"/>
      <c r="ABC1" s="434"/>
      <c r="ABD1" s="434"/>
      <c r="ABE1" s="434"/>
      <c r="ABF1" s="434"/>
      <c r="ABG1" s="434"/>
      <c r="ABH1" s="434"/>
      <c r="ABI1" s="434"/>
      <c r="ABJ1" s="434"/>
      <c r="ABK1" s="434"/>
      <c r="ABL1" s="434"/>
      <c r="ABM1" s="434"/>
      <c r="ABN1" s="434"/>
      <c r="ABO1" s="434"/>
      <c r="ABP1" s="434"/>
      <c r="ABQ1" s="434"/>
      <c r="ABR1" s="434"/>
      <c r="ABS1" s="434"/>
      <c r="ABT1" s="434"/>
      <c r="ABU1" s="434"/>
      <c r="ABV1" s="434"/>
      <c r="ABW1" s="434"/>
      <c r="ABX1" s="434"/>
      <c r="ABY1" s="434"/>
      <c r="ABZ1" s="434"/>
      <c r="ACA1" s="434"/>
      <c r="ACB1" s="434"/>
      <c r="ACC1" s="434"/>
      <c r="ACD1" s="434"/>
      <c r="ACE1" s="434"/>
      <c r="ACF1" s="434"/>
      <c r="ACG1" s="434"/>
      <c r="ACH1" s="434"/>
      <c r="ACI1" s="434"/>
      <c r="ACJ1" s="434"/>
      <c r="ACK1" s="434"/>
      <c r="ACL1" s="434"/>
      <c r="ACM1" s="434"/>
      <c r="ACN1" s="434"/>
      <c r="ACO1" s="434"/>
      <c r="ACP1" s="434"/>
      <c r="ACQ1" s="434"/>
      <c r="ACR1" s="434"/>
      <c r="ACS1" s="434"/>
      <c r="ACT1" s="434"/>
      <c r="ACU1" s="434"/>
      <c r="ACV1" s="434"/>
      <c r="ACW1" s="434"/>
      <c r="ACX1" s="434"/>
      <c r="ACY1" s="434"/>
      <c r="ACZ1" s="434"/>
      <c r="ADA1" s="434"/>
      <c r="ADB1" s="434"/>
      <c r="ADC1" s="434"/>
      <c r="ADD1" s="434"/>
      <c r="ADE1" s="434"/>
      <c r="ADF1" s="434"/>
      <c r="ADG1" s="434"/>
      <c r="ADH1" s="434"/>
      <c r="ADI1" s="434"/>
      <c r="ADJ1" s="434"/>
      <c r="ADK1" s="434"/>
      <c r="ADL1" s="434"/>
      <c r="ADM1" s="434"/>
      <c r="ADN1" s="434"/>
      <c r="ADO1" s="434"/>
      <c r="ADP1" s="434"/>
      <c r="ADQ1" s="434"/>
      <c r="ADR1" s="434"/>
      <c r="ADS1" s="434"/>
      <c r="ADT1" s="434"/>
      <c r="ADU1" s="434"/>
      <c r="ADV1" s="434"/>
      <c r="ADW1" s="434"/>
      <c r="ADX1" s="434"/>
      <c r="ADY1" s="434"/>
      <c r="ADZ1" s="434"/>
      <c r="AEA1" s="434"/>
      <c r="AEB1" s="434"/>
      <c r="AEC1" s="434"/>
      <c r="AED1" s="434"/>
      <c r="AEE1" s="434"/>
      <c r="AEF1" s="434"/>
      <c r="AEG1" s="434"/>
      <c r="AEH1" s="434"/>
      <c r="AEI1" s="434"/>
      <c r="AEJ1" s="434"/>
      <c r="AEK1" s="434"/>
      <c r="AEL1" s="434"/>
      <c r="AEM1" s="434"/>
      <c r="AEN1" s="434"/>
      <c r="AEO1" s="434"/>
      <c r="AEP1" s="434"/>
      <c r="AEQ1" s="434"/>
      <c r="AER1" s="434"/>
      <c r="AES1" s="434"/>
      <c r="AET1" s="434"/>
      <c r="AEU1" s="434"/>
      <c r="AEV1" s="434"/>
      <c r="AEW1" s="434"/>
      <c r="AEX1" s="434"/>
      <c r="AEY1" s="434"/>
      <c r="AEZ1" s="434"/>
      <c r="AFA1" s="434"/>
      <c r="AFB1" s="434"/>
      <c r="AFC1" s="434"/>
      <c r="AFD1" s="434"/>
      <c r="AFE1" s="434"/>
      <c r="AFF1" s="434"/>
      <c r="AFG1" s="434"/>
      <c r="AFH1" s="434"/>
      <c r="AFI1" s="434"/>
      <c r="AFJ1" s="434"/>
      <c r="AFK1" s="434"/>
      <c r="AFL1" s="434"/>
      <c r="AFM1" s="434"/>
      <c r="AFN1" s="434"/>
      <c r="AFO1" s="434"/>
      <c r="AFP1" s="434"/>
      <c r="AFQ1" s="434"/>
      <c r="AFR1" s="434"/>
      <c r="AFS1" s="434"/>
      <c r="AFT1" s="434"/>
      <c r="AFU1" s="434"/>
      <c r="AFV1" s="434"/>
      <c r="AFW1" s="434"/>
      <c r="AFX1" s="434"/>
      <c r="AFY1" s="434"/>
      <c r="AFZ1" s="434"/>
      <c r="AGA1" s="434"/>
      <c r="AGB1" s="434"/>
      <c r="AGC1" s="434"/>
      <c r="AGD1" s="434"/>
      <c r="AGE1" s="434"/>
      <c r="AGF1" s="434"/>
      <c r="AGG1" s="434"/>
      <c r="AGH1" s="434"/>
      <c r="AGI1" s="434"/>
      <c r="AGJ1" s="434"/>
      <c r="AGK1" s="434"/>
      <c r="AGL1" s="434"/>
      <c r="AGM1" s="434"/>
      <c r="AGN1" s="434"/>
      <c r="AGO1" s="434"/>
      <c r="AGP1" s="434"/>
      <c r="AGQ1" s="434"/>
      <c r="AGR1" s="434"/>
      <c r="AGS1" s="434"/>
      <c r="AGT1" s="434"/>
      <c r="AGU1" s="434"/>
      <c r="AGV1" s="434"/>
      <c r="AGW1" s="434"/>
      <c r="AGX1" s="434"/>
      <c r="AGY1" s="434"/>
      <c r="AGZ1" s="434"/>
      <c r="AHA1" s="434"/>
      <c r="AHB1" s="434"/>
      <c r="AHC1" s="434"/>
      <c r="AHD1" s="434"/>
      <c r="AHE1" s="434"/>
      <c r="AHF1" s="434"/>
      <c r="AHG1" s="434"/>
      <c r="AHH1" s="434"/>
      <c r="AHI1" s="434"/>
      <c r="AHJ1" s="434"/>
      <c r="AHK1" s="434"/>
      <c r="AHL1" s="434"/>
      <c r="AHM1" s="434"/>
      <c r="AHN1" s="434"/>
      <c r="AHO1" s="434"/>
      <c r="AHP1" s="434"/>
      <c r="AHQ1" s="434"/>
      <c r="AHR1" s="434"/>
      <c r="AHS1" s="434"/>
      <c r="AHT1" s="434"/>
      <c r="AHU1" s="434"/>
      <c r="AHV1" s="434"/>
      <c r="AHW1" s="434"/>
      <c r="AHX1" s="434"/>
      <c r="AHY1" s="434"/>
      <c r="AHZ1" s="434"/>
      <c r="AIA1" s="434"/>
      <c r="AIB1" s="434"/>
      <c r="AIC1" s="434"/>
      <c r="AID1" s="434"/>
      <c r="AIE1" s="434"/>
      <c r="AIF1" s="434"/>
      <c r="AIG1" s="434"/>
      <c r="AIH1" s="434"/>
      <c r="AII1" s="434"/>
      <c r="AIJ1" s="434"/>
      <c r="AIK1" s="434"/>
      <c r="AIL1" s="434"/>
      <c r="AIM1" s="434"/>
      <c r="AIN1" s="434"/>
      <c r="AIO1" s="434"/>
      <c r="AIP1" s="434"/>
      <c r="AIQ1" s="434"/>
      <c r="AIR1" s="434"/>
      <c r="AIS1" s="434"/>
      <c r="AIT1" s="434"/>
      <c r="AIU1" s="434"/>
      <c r="AIV1" s="434"/>
      <c r="AIW1" s="434"/>
      <c r="AIX1" s="434"/>
      <c r="AIY1" s="434"/>
      <c r="AIZ1" s="434"/>
      <c r="AJA1" s="434"/>
      <c r="AJB1" s="434"/>
      <c r="AJC1" s="434"/>
      <c r="AJD1" s="434"/>
      <c r="AJE1" s="434"/>
      <c r="AJF1" s="434"/>
      <c r="AJG1" s="434"/>
      <c r="AJH1" s="434"/>
      <c r="AJI1" s="434"/>
      <c r="AJJ1" s="434"/>
      <c r="AJK1" s="434"/>
      <c r="AJL1" s="434"/>
      <c r="AJM1" s="434"/>
      <c r="AJN1" s="434"/>
      <c r="AJO1" s="434"/>
      <c r="AJP1" s="434"/>
      <c r="AJQ1" s="434"/>
      <c r="AJR1" s="434"/>
      <c r="AJS1" s="434"/>
      <c r="AJT1" s="434"/>
      <c r="AJU1" s="434"/>
      <c r="AJV1" s="434"/>
      <c r="AJW1" s="434"/>
      <c r="AJX1" s="434"/>
      <c r="AJY1" s="434"/>
      <c r="AJZ1" s="434"/>
      <c r="AKA1" s="434"/>
      <c r="AKB1" s="434"/>
      <c r="AKC1" s="434"/>
      <c r="AKD1" s="434"/>
      <c r="AKE1" s="434"/>
      <c r="AKF1" s="434"/>
      <c r="AKG1" s="434"/>
      <c r="AKH1" s="434"/>
      <c r="AKI1" s="434"/>
      <c r="AKJ1" s="434"/>
      <c r="AKK1" s="434"/>
      <c r="AKL1" s="434"/>
      <c r="AKM1" s="434"/>
      <c r="AKN1" s="434"/>
      <c r="AKO1" s="434"/>
      <c r="AKP1" s="434"/>
      <c r="AKQ1" s="434"/>
      <c r="AKR1" s="434"/>
      <c r="AKS1" s="434"/>
      <c r="AKT1" s="434"/>
      <c r="AKU1" s="434"/>
      <c r="AKV1" s="434"/>
      <c r="AKW1" s="434"/>
      <c r="AKX1" s="434"/>
      <c r="AKY1" s="434"/>
      <c r="AKZ1" s="434"/>
      <c r="ALA1" s="434"/>
      <c r="ALB1" s="434"/>
      <c r="ALC1" s="434"/>
      <c r="ALD1" s="434"/>
      <c r="ALE1" s="434"/>
      <c r="ALF1" s="434"/>
      <c r="ALG1" s="434"/>
      <c r="ALH1" s="434"/>
      <c r="ALI1" s="434"/>
      <c r="ALJ1" s="434"/>
      <c r="ALK1" s="434"/>
      <c r="ALL1" s="434"/>
      <c r="ALM1" s="434"/>
      <c r="ALN1" s="434"/>
      <c r="ALO1" s="434"/>
      <c r="ALP1" s="434"/>
      <c r="ALQ1" s="434"/>
      <c r="ALR1" s="434"/>
      <c r="ALS1" s="434"/>
      <c r="ALT1" s="434"/>
      <c r="ALU1" s="434"/>
      <c r="ALV1" s="434"/>
      <c r="ALW1" s="434"/>
      <c r="ALX1" s="434"/>
      <c r="ALY1" s="434"/>
      <c r="ALZ1" s="434"/>
      <c r="AMA1" s="434"/>
      <c r="AMB1" s="434"/>
      <c r="AMC1" s="434"/>
      <c r="AMD1" s="434"/>
      <c r="AME1" s="434"/>
      <c r="AMF1" s="434"/>
      <c r="AMG1" s="434"/>
      <c r="AMH1" s="434"/>
      <c r="AMI1" s="434"/>
      <c r="AMJ1" s="434"/>
      <c r="AMK1" s="434"/>
      <c r="AML1" s="434"/>
      <c r="AMM1" s="434"/>
      <c r="AMN1" s="434"/>
      <c r="AMO1" s="434"/>
      <c r="AMP1" s="434"/>
      <c r="AMQ1" s="434"/>
      <c r="AMR1" s="434"/>
      <c r="AMS1" s="434"/>
      <c r="AMT1" s="434"/>
      <c r="AMU1" s="434"/>
      <c r="AMV1" s="434"/>
      <c r="AMW1" s="434"/>
      <c r="AMX1" s="434"/>
      <c r="AMY1" s="434"/>
      <c r="AMZ1" s="434"/>
      <c r="ANA1" s="434"/>
      <c r="ANB1" s="434"/>
      <c r="ANC1" s="434"/>
      <c r="AND1" s="434"/>
      <c r="ANE1" s="434"/>
      <c r="ANF1" s="434"/>
      <c r="ANG1" s="434"/>
      <c r="ANH1" s="434"/>
      <c r="ANI1" s="434"/>
      <c r="ANJ1" s="434"/>
      <c r="ANK1" s="434"/>
      <c r="ANL1" s="434"/>
      <c r="ANM1" s="434"/>
      <c r="ANN1" s="434"/>
      <c r="ANO1" s="434"/>
      <c r="ANP1" s="434"/>
      <c r="ANQ1" s="434"/>
      <c r="ANR1" s="434"/>
      <c r="ANS1" s="434"/>
      <c r="ANT1" s="434"/>
      <c r="ANU1" s="434"/>
      <c r="ANV1" s="434"/>
      <c r="ANW1" s="434"/>
      <c r="ANX1" s="434"/>
      <c r="ANY1" s="434"/>
      <c r="ANZ1" s="434"/>
      <c r="AOA1" s="434"/>
      <c r="AOB1" s="434"/>
      <c r="AOC1" s="434"/>
      <c r="AOD1" s="434"/>
      <c r="AOE1" s="434"/>
      <c r="AOF1" s="434"/>
      <c r="AOG1" s="434"/>
      <c r="AOH1" s="434"/>
      <c r="AOI1" s="434"/>
      <c r="AOJ1" s="434"/>
      <c r="AOK1" s="434"/>
      <c r="AOL1" s="434"/>
      <c r="AOM1" s="434"/>
      <c r="AON1" s="434"/>
      <c r="AOO1" s="434"/>
      <c r="AOP1" s="434"/>
      <c r="AOQ1" s="434"/>
      <c r="AOR1" s="434"/>
      <c r="AOS1" s="434"/>
      <c r="AOT1" s="434"/>
      <c r="AOU1" s="434"/>
      <c r="AOV1" s="434"/>
      <c r="AOW1" s="434"/>
      <c r="AOX1" s="434"/>
      <c r="AOY1" s="434"/>
      <c r="AOZ1" s="434"/>
      <c r="APA1" s="434"/>
      <c r="APB1" s="434"/>
      <c r="APC1" s="434"/>
      <c r="APD1" s="434"/>
      <c r="APE1" s="434"/>
      <c r="APF1" s="434"/>
      <c r="APG1" s="434"/>
      <c r="APH1" s="434"/>
      <c r="API1" s="434"/>
      <c r="APJ1" s="434"/>
      <c r="APK1" s="434"/>
      <c r="APL1" s="434"/>
      <c r="APM1" s="434"/>
      <c r="APN1" s="434"/>
      <c r="APO1" s="434"/>
      <c r="APP1" s="434"/>
      <c r="APQ1" s="434"/>
      <c r="APR1" s="434"/>
      <c r="APS1" s="434"/>
      <c r="APT1" s="434"/>
      <c r="APU1" s="434"/>
      <c r="APV1" s="434"/>
      <c r="APW1" s="434"/>
      <c r="APX1" s="434"/>
      <c r="APY1" s="434"/>
      <c r="APZ1" s="434"/>
      <c r="AQA1" s="434"/>
      <c r="AQB1" s="434"/>
      <c r="AQC1" s="434"/>
      <c r="AQD1" s="434"/>
      <c r="AQE1" s="434"/>
      <c r="AQF1" s="434"/>
      <c r="AQG1" s="434"/>
      <c r="AQH1" s="434"/>
      <c r="AQI1" s="434"/>
      <c r="AQJ1" s="434"/>
      <c r="AQK1" s="434"/>
      <c r="AQL1" s="434"/>
      <c r="AQM1" s="434"/>
      <c r="AQN1" s="434"/>
      <c r="AQO1" s="434"/>
      <c r="AQP1" s="434"/>
      <c r="AQQ1" s="434"/>
      <c r="AQR1" s="434"/>
      <c r="AQS1" s="434"/>
      <c r="AQT1" s="434"/>
      <c r="AQU1" s="434"/>
      <c r="AQV1" s="434"/>
      <c r="AQW1" s="434"/>
      <c r="AQX1" s="434"/>
      <c r="AQY1" s="434"/>
      <c r="AQZ1" s="434"/>
      <c r="ARA1" s="434"/>
      <c r="ARB1" s="434"/>
      <c r="ARC1" s="434"/>
      <c r="ARD1" s="434"/>
      <c r="ARE1" s="434"/>
      <c r="ARF1" s="434"/>
      <c r="ARG1" s="434"/>
      <c r="ARH1" s="434"/>
      <c r="ARI1" s="434"/>
      <c r="ARJ1" s="434"/>
      <c r="ARK1" s="434"/>
      <c r="ARL1" s="434"/>
      <c r="ARM1" s="434"/>
      <c r="ARN1" s="434"/>
      <c r="ARO1" s="434"/>
      <c r="ARP1" s="434"/>
      <c r="ARQ1" s="434"/>
      <c r="ARR1" s="434"/>
      <c r="ARS1" s="434"/>
      <c r="ART1" s="434"/>
      <c r="ARU1" s="434"/>
      <c r="ARV1" s="434"/>
      <c r="ARW1" s="434"/>
      <c r="ARX1" s="434"/>
      <c r="ARY1" s="434"/>
      <c r="ARZ1" s="434"/>
      <c r="ASA1" s="434"/>
      <c r="ASB1" s="434"/>
      <c r="ASC1" s="434"/>
      <c r="ASD1" s="434"/>
      <c r="ASE1" s="434"/>
      <c r="ASF1" s="434"/>
      <c r="ASG1" s="434"/>
      <c r="ASH1" s="434"/>
      <c r="ASI1" s="434"/>
      <c r="ASJ1" s="434"/>
      <c r="ASK1" s="434"/>
      <c r="ASL1" s="434"/>
      <c r="ASM1" s="434"/>
      <c r="ASN1" s="434"/>
      <c r="ASO1" s="434"/>
      <c r="ASP1" s="434"/>
      <c r="ASQ1" s="434"/>
      <c r="ASR1" s="434"/>
      <c r="ASS1" s="434"/>
      <c r="AST1" s="434"/>
      <c r="ASU1" s="434"/>
      <c r="ASV1" s="434"/>
      <c r="ASW1" s="434"/>
      <c r="ASX1" s="434"/>
      <c r="ASY1" s="434"/>
      <c r="ASZ1" s="434"/>
      <c r="ATA1" s="434"/>
      <c r="ATB1" s="434"/>
      <c r="ATC1" s="434"/>
      <c r="ATD1" s="434"/>
      <c r="ATE1" s="434"/>
      <c r="ATF1" s="434"/>
      <c r="ATG1" s="434"/>
      <c r="ATH1" s="434"/>
      <c r="ATI1" s="434"/>
      <c r="ATJ1" s="434"/>
      <c r="ATK1" s="434"/>
      <c r="ATL1" s="434"/>
      <c r="ATM1" s="434"/>
      <c r="ATN1" s="434"/>
      <c r="ATO1" s="434"/>
      <c r="ATP1" s="434"/>
      <c r="ATQ1" s="434"/>
      <c r="ATR1" s="434"/>
      <c r="ATS1" s="434"/>
      <c r="ATT1" s="434"/>
      <c r="ATU1" s="434"/>
      <c r="ATV1" s="434"/>
      <c r="ATW1" s="434"/>
      <c r="ATX1" s="434"/>
      <c r="ATY1" s="434"/>
      <c r="ATZ1" s="434"/>
      <c r="AUA1" s="434"/>
      <c r="AUB1" s="434"/>
      <c r="AUC1" s="434"/>
      <c r="AUD1" s="434"/>
      <c r="AUE1" s="434"/>
      <c r="AUF1" s="434"/>
      <c r="AUG1" s="434"/>
      <c r="AUH1" s="434"/>
      <c r="AUI1" s="434"/>
      <c r="AUJ1" s="434"/>
      <c r="AUK1" s="434"/>
      <c r="AUL1" s="434"/>
      <c r="AUM1" s="434"/>
      <c r="AUN1" s="434"/>
      <c r="AUO1" s="434"/>
      <c r="AUP1" s="434"/>
      <c r="AUQ1" s="434"/>
      <c r="AUR1" s="434"/>
      <c r="AUS1" s="434"/>
      <c r="AUT1" s="434"/>
      <c r="AUU1" s="434"/>
      <c r="AUV1" s="434"/>
      <c r="AUW1" s="434"/>
      <c r="AUX1" s="434"/>
      <c r="AUY1" s="434"/>
      <c r="AUZ1" s="434"/>
      <c r="AVA1" s="434"/>
      <c r="AVB1" s="434"/>
      <c r="AVC1" s="434"/>
      <c r="AVD1" s="434"/>
      <c r="AVE1" s="434"/>
      <c r="AVF1" s="434"/>
      <c r="AVG1" s="434"/>
      <c r="AVH1" s="434"/>
      <c r="AVI1" s="434"/>
      <c r="AVJ1" s="434"/>
      <c r="AVK1" s="434"/>
      <c r="AVL1" s="434"/>
      <c r="AVM1" s="434"/>
      <c r="AVN1" s="434"/>
      <c r="AVO1" s="434"/>
      <c r="AVP1" s="434"/>
      <c r="AVQ1" s="434"/>
      <c r="AVR1" s="434"/>
      <c r="AVS1" s="434"/>
      <c r="AVT1" s="434"/>
      <c r="AVU1" s="434"/>
      <c r="AVV1" s="434"/>
      <c r="AVW1" s="434"/>
      <c r="AVX1" s="434"/>
      <c r="AVY1" s="434"/>
      <c r="AVZ1" s="434"/>
      <c r="AWA1" s="434"/>
      <c r="AWB1" s="434"/>
      <c r="AWC1" s="434"/>
      <c r="AWD1" s="434"/>
      <c r="AWE1" s="434"/>
      <c r="AWF1" s="434"/>
      <c r="AWG1" s="434"/>
      <c r="AWH1" s="434"/>
      <c r="AWI1" s="434"/>
      <c r="AWJ1" s="434"/>
      <c r="AWK1" s="434"/>
      <c r="AWL1" s="434"/>
      <c r="AWM1" s="434"/>
      <c r="AWN1" s="434"/>
      <c r="AWO1" s="434"/>
      <c r="AWP1" s="434"/>
      <c r="AWQ1" s="434"/>
      <c r="AWR1" s="434"/>
      <c r="AWS1" s="434"/>
      <c r="AWT1" s="434"/>
      <c r="AWU1" s="434"/>
      <c r="AWV1" s="434"/>
      <c r="AWW1" s="434"/>
      <c r="AWX1" s="434"/>
      <c r="AWY1" s="434"/>
      <c r="AWZ1" s="434"/>
      <c r="AXA1" s="434"/>
      <c r="AXB1" s="434"/>
      <c r="AXC1" s="434"/>
      <c r="AXD1" s="434"/>
      <c r="AXE1" s="434"/>
      <c r="AXF1" s="434"/>
      <c r="AXG1" s="434"/>
      <c r="AXH1" s="434"/>
      <c r="AXI1" s="434"/>
      <c r="AXJ1" s="434"/>
      <c r="AXK1" s="434"/>
      <c r="AXL1" s="434"/>
      <c r="AXM1" s="434"/>
      <c r="AXN1" s="434"/>
      <c r="AXO1" s="434"/>
      <c r="AXP1" s="434"/>
      <c r="AXQ1" s="434"/>
      <c r="AXR1" s="434"/>
      <c r="AXS1" s="434"/>
      <c r="AXT1" s="434"/>
      <c r="AXU1" s="434"/>
      <c r="AXV1" s="434"/>
      <c r="AXW1" s="434"/>
      <c r="AXX1" s="434"/>
      <c r="AXY1" s="434"/>
      <c r="AXZ1" s="434"/>
      <c r="AYA1" s="434"/>
      <c r="AYB1" s="434"/>
      <c r="AYC1" s="434"/>
      <c r="AYD1" s="434"/>
      <c r="AYE1" s="434"/>
      <c r="AYF1" s="434"/>
      <c r="AYG1" s="434"/>
      <c r="AYH1" s="434"/>
      <c r="AYI1" s="434"/>
      <c r="AYJ1" s="434"/>
      <c r="AYK1" s="434"/>
      <c r="AYL1" s="434"/>
      <c r="AYM1" s="434"/>
      <c r="AYN1" s="434"/>
      <c r="AYO1" s="434"/>
      <c r="AYP1" s="434"/>
      <c r="AYQ1" s="434"/>
      <c r="AYR1" s="434"/>
      <c r="AYS1" s="434"/>
      <c r="AYT1" s="434"/>
      <c r="AYU1" s="434"/>
      <c r="AYV1" s="434"/>
      <c r="AYW1" s="434"/>
      <c r="AYX1" s="434"/>
      <c r="AYY1" s="434"/>
      <c r="AYZ1" s="434"/>
      <c r="AZA1" s="434"/>
      <c r="AZB1" s="434"/>
      <c r="AZC1" s="434"/>
      <c r="AZD1" s="434"/>
      <c r="AZE1" s="434"/>
      <c r="AZF1" s="434"/>
      <c r="AZG1" s="434"/>
      <c r="AZH1" s="434"/>
      <c r="AZI1" s="434"/>
      <c r="AZJ1" s="434"/>
      <c r="AZK1" s="434"/>
      <c r="AZL1" s="434"/>
      <c r="AZM1" s="434"/>
      <c r="AZN1" s="434"/>
      <c r="AZO1" s="434"/>
      <c r="AZP1" s="434"/>
      <c r="AZQ1" s="434"/>
      <c r="AZR1" s="434"/>
      <c r="AZS1" s="434"/>
      <c r="AZT1" s="434"/>
      <c r="AZU1" s="434"/>
      <c r="AZV1" s="434"/>
      <c r="AZW1" s="434"/>
      <c r="AZX1" s="434"/>
      <c r="AZY1" s="434"/>
      <c r="AZZ1" s="434"/>
      <c r="BAA1" s="434"/>
      <c r="BAB1" s="434"/>
      <c r="BAC1" s="434"/>
      <c r="BAD1" s="434"/>
      <c r="BAE1" s="434"/>
      <c r="BAF1" s="434"/>
      <c r="BAG1" s="434"/>
      <c r="BAH1" s="434"/>
      <c r="BAI1" s="434"/>
      <c r="BAJ1" s="434"/>
      <c r="BAK1" s="434"/>
      <c r="BAL1" s="434"/>
      <c r="BAM1" s="434"/>
      <c r="BAN1" s="434"/>
      <c r="BAO1" s="434"/>
      <c r="BAP1" s="434"/>
      <c r="BAQ1" s="434"/>
      <c r="BAR1" s="434"/>
      <c r="BAS1" s="434"/>
      <c r="BAT1" s="434"/>
      <c r="BAU1" s="434"/>
      <c r="BAV1" s="434"/>
      <c r="BAW1" s="434"/>
      <c r="BAX1" s="434"/>
      <c r="BAY1" s="434"/>
      <c r="BAZ1" s="434"/>
      <c r="BBA1" s="434"/>
      <c r="BBB1" s="434"/>
      <c r="BBC1" s="434"/>
      <c r="BBD1" s="434"/>
      <c r="BBE1" s="434"/>
      <c r="BBF1" s="434"/>
      <c r="BBG1" s="434"/>
      <c r="BBH1" s="434"/>
      <c r="BBI1" s="434"/>
      <c r="BBJ1" s="434"/>
      <c r="BBK1" s="434"/>
      <c r="BBL1" s="434"/>
      <c r="BBM1" s="434"/>
      <c r="BBN1" s="434"/>
      <c r="BBO1" s="434"/>
      <c r="BBP1" s="434"/>
      <c r="BBQ1" s="434"/>
      <c r="BBR1" s="434"/>
      <c r="BBS1" s="434"/>
      <c r="BBT1" s="434"/>
      <c r="BBU1" s="434"/>
      <c r="BBV1" s="434"/>
      <c r="BBW1" s="434"/>
      <c r="BBX1" s="434"/>
      <c r="BBY1" s="434"/>
      <c r="BBZ1" s="434"/>
      <c r="BCA1" s="434"/>
      <c r="BCB1" s="434"/>
      <c r="BCC1" s="434"/>
      <c r="BCD1" s="434"/>
      <c r="BCE1" s="434"/>
      <c r="BCF1" s="434"/>
      <c r="BCG1" s="434"/>
      <c r="BCH1" s="434"/>
      <c r="BCI1" s="434"/>
      <c r="BCJ1" s="434"/>
      <c r="BCK1" s="434"/>
      <c r="BCL1" s="434"/>
      <c r="BCM1" s="434"/>
      <c r="BCN1" s="434"/>
      <c r="BCO1" s="434"/>
      <c r="BCP1" s="434"/>
      <c r="BCQ1" s="434"/>
      <c r="BCR1" s="434"/>
      <c r="BCS1" s="434"/>
      <c r="BCT1" s="434"/>
      <c r="BCU1" s="434"/>
      <c r="BCV1" s="434"/>
      <c r="BCW1" s="434"/>
      <c r="BCX1" s="434"/>
      <c r="BCY1" s="434"/>
      <c r="BCZ1" s="434"/>
      <c r="BDA1" s="434"/>
      <c r="BDB1" s="434"/>
      <c r="BDC1" s="434"/>
      <c r="BDD1" s="434"/>
      <c r="BDE1" s="434"/>
      <c r="BDF1" s="434"/>
      <c r="BDG1" s="434"/>
      <c r="BDH1" s="434"/>
      <c r="BDI1" s="434"/>
      <c r="BDJ1" s="434"/>
      <c r="BDK1" s="434"/>
      <c r="BDL1" s="434"/>
      <c r="BDM1" s="434"/>
      <c r="BDN1" s="434"/>
      <c r="BDO1" s="434"/>
      <c r="BDP1" s="434"/>
      <c r="BDQ1" s="434"/>
      <c r="BDR1" s="434"/>
      <c r="BDS1" s="434"/>
      <c r="BDT1" s="434"/>
      <c r="BDU1" s="434"/>
      <c r="BDV1" s="434"/>
      <c r="BDW1" s="434"/>
      <c r="BDX1" s="434"/>
      <c r="BDY1" s="434"/>
      <c r="BDZ1" s="434"/>
      <c r="BEA1" s="434"/>
      <c r="BEB1" s="434"/>
      <c r="BEC1" s="434"/>
      <c r="BED1" s="434"/>
      <c r="BEE1" s="434"/>
      <c r="BEF1" s="434"/>
      <c r="BEG1" s="434"/>
      <c r="BEH1" s="434"/>
      <c r="BEI1" s="434"/>
      <c r="BEJ1" s="434"/>
      <c r="BEK1" s="434"/>
      <c r="BEL1" s="434"/>
      <c r="BEM1" s="434"/>
      <c r="BEN1" s="434"/>
      <c r="BEO1" s="434"/>
      <c r="BEP1" s="434"/>
      <c r="BEQ1" s="434"/>
      <c r="BER1" s="434"/>
      <c r="BES1" s="434"/>
      <c r="BET1" s="434"/>
      <c r="BEU1" s="434"/>
      <c r="BEV1" s="434"/>
      <c r="BEW1" s="434"/>
      <c r="BEX1" s="434"/>
      <c r="BEY1" s="434"/>
      <c r="BEZ1" s="434"/>
      <c r="BFA1" s="434"/>
      <c r="BFB1" s="434"/>
      <c r="BFC1" s="434"/>
      <c r="BFD1" s="434"/>
      <c r="BFE1" s="434"/>
      <c r="BFF1" s="434"/>
      <c r="BFG1" s="434"/>
      <c r="BFH1" s="434"/>
      <c r="BFI1" s="434"/>
      <c r="BFJ1" s="434"/>
      <c r="BFK1" s="434"/>
      <c r="BFL1" s="434"/>
      <c r="BFM1" s="434"/>
      <c r="BFN1" s="434"/>
      <c r="BFO1" s="434"/>
      <c r="BFP1" s="434"/>
      <c r="BFQ1" s="434"/>
      <c r="BFR1" s="434"/>
      <c r="BFS1" s="434"/>
      <c r="BFT1" s="434"/>
      <c r="BFU1" s="434"/>
      <c r="BFV1" s="434"/>
      <c r="BFW1" s="434"/>
      <c r="BFX1" s="434"/>
      <c r="BFY1" s="434"/>
      <c r="BFZ1" s="434"/>
      <c r="BGA1" s="434"/>
      <c r="BGB1" s="434"/>
      <c r="BGC1" s="434"/>
      <c r="BGD1" s="434"/>
      <c r="BGE1" s="434"/>
      <c r="BGF1" s="434"/>
      <c r="BGG1" s="434"/>
      <c r="BGH1" s="434"/>
      <c r="BGI1" s="434"/>
      <c r="BGJ1" s="434"/>
      <c r="BGK1" s="434"/>
      <c r="BGL1" s="434"/>
      <c r="BGM1" s="434"/>
      <c r="BGN1" s="434"/>
      <c r="BGO1" s="434"/>
      <c r="BGP1" s="434"/>
      <c r="BGQ1" s="434"/>
      <c r="BGR1" s="434"/>
      <c r="BGS1" s="434"/>
      <c r="BGT1" s="434"/>
      <c r="BGU1" s="434"/>
      <c r="BGV1" s="434"/>
      <c r="BGW1" s="434"/>
      <c r="BGX1" s="434"/>
      <c r="BGY1" s="434"/>
      <c r="BGZ1" s="434"/>
      <c r="BHA1" s="434"/>
      <c r="BHB1" s="434"/>
      <c r="BHC1" s="434"/>
      <c r="BHD1" s="434"/>
      <c r="BHE1" s="434"/>
      <c r="BHF1" s="434"/>
      <c r="BHG1" s="434"/>
      <c r="BHH1" s="434"/>
      <c r="BHI1" s="434"/>
      <c r="BHJ1" s="434"/>
      <c r="BHK1" s="434"/>
      <c r="BHL1" s="434"/>
      <c r="BHM1" s="434"/>
      <c r="BHN1" s="434"/>
      <c r="BHO1" s="434"/>
      <c r="BHP1" s="434"/>
      <c r="BHQ1" s="434"/>
      <c r="BHR1" s="434"/>
      <c r="BHS1" s="434"/>
      <c r="BHT1" s="434"/>
      <c r="BHU1" s="434"/>
      <c r="BHV1" s="434"/>
      <c r="BHW1" s="434"/>
      <c r="BHX1" s="434"/>
      <c r="BHY1" s="434"/>
      <c r="BHZ1" s="434"/>
      <c r="BIA1" s="434"/>
      <c r="BIB1" s="434"/>
      <c r="BIC1" s="434"/>
      <c r="BID1" s="434"/>
      <c r="BIE1" s="434"/>
      <c r="BIF1" s="434"/>
      <c r="BIG1" s="434"/>
      <c r="BIH1" s="434"/>
      <c r="BII1" s="434"/>
      <c r="BIJ1" s="434"/>
      <c r="BIK1" s="434"/>
      <c r="BIL1" s="434"/>
      <c r="BIM1" s="434"/>
      <c r="BIN1" s="434"/>
      <c r="BIO1" s="434"/>
      <c r="BIP1" s="434"/>
      <c r="BIQ1" s="434"/>
      <c r="BIR1" s="434"/>
      <c r="BIS1" s="434"/>
      <c r="BIT1" s="434"/>
      <c r="BIU1" s="434"/>
      <c r="BIV1" s="434"/>
      <c r="BIW1" s="434"/>
      <c r="BIX1" s="434"/>
      <c r="BIY1" s="434"/>
      <c r="BIZ1" s="434"/>
      <c r="BJA1" s="434"/>
      <c r="BJB1" s="434"/>
      <c r="BJC1" s="434"/>
      <c r="BJD1" s="434"/>
      <c r="BJE1" s="434"/>
      <c r="BJF1" s="434"/>
      <c r="BJG1" s="434"/>
      <c r="BJH1" s="434"/>
      <c r="BJI1" s="434"/>
      <c r="BJJ1" s="434"/>
      <c r="BJK1" s="434"/>
      <c r="BJL1" s="434"/>
      <c r="BJM1" s="434"/>
      <c r="BJN1" s="434"/>
      <c r="BJO1" s="434"/>
      <c r="BJP1" s="434"/>
      <c r="BJQ1" s="434"/>
      <c r="BJR1" s="434"/>
      <c r="BJS1" s="434"/>
      <c r="BJT1" s="434"/>
      <c r="BJU1" s="434"/>
      <c r="BJV1" s="434"/>
      <c r="BJW1" s="434"/>
      <c r="BJX1" s="434"/>
      <c r="BJY1" s="434"/>
      <c r="BJZ1" s="434"/>
      <c r="BKA1" s="434"/>
      <c r="BKB1" s="434"/>
      <c r="BKC1" s="434"/>
      <c r="BKD1" s="434"/>
      <c r="BKE1" s="434"/>
      <c r="BKF1" s="434"/>
      <c r="BKG1" s="434"/>
      <c r="BKH1" s="434"/>
      <c r="BKI1" s="434"/>
      <c r="BKJ1" s="434"/>
      <c r="BKK1" s="434"/>
      <c r="BKL1" s="434"/>
      <c r="BKM1" s="434"/>
      <c r="BKN1" s="434"/>
      <c r="BKO1" s="434"/>
      <c r="BKP1" s="434"/>
      <c r="BKQ1" s="434"/>
      <c r="BKR1" s="434"/>
      <c r="BKS1" s="434"/>
      <c r="BKT1" s="434"/>
      <c r="BKU1" s="434"/>
      <c r="BKV1" s="434"/>
      <c r="BKW1" s="434"/>
      <c r="BKX1" s="434"/>
      <c r="BKY1" s="434"/>
      <c r="BKZ1" s="434"/>
      <c r="BLA1" s="434"/>
      <c r="BLB1" s="434"/>
      <c r="BLC1" s="434"/>
      <c r="BLD1" s="434"/>
      <c r="BLE1" s="434"/>
      <c r="BLF1" s="434"/>
      <c r="BLG1" s="434"/>
      <c r="BLH1" s="434"/>
      <c r="BLI1" s="434"/>
      <c r="BLJ1" s="434"/>
      <c r="BLK1" s="434"/>
      <c r="BLL1" s="434"/>
      <c r="BLM1" s="434"/>
      <c r="BLN1" s="434"/>
      <c r="BLO1" s="434"/>
      <c r="BLP1" s="434"/>
      <c r="BLQ1" s="434"/>
      <c r="BLR1" s="434"/>
      <c r="BLS1" s="434"/>
      <c r="BLT1" s="434"/>
      <c r="BLU1" s="434"/>
      <c r="BLV1" s="434"/>
      <c r="BLW1" s="434"/>
      <c r="BLX1" s="434"/>
      <c r="BLY1" s="434"/>
      <c r="BLZ1" s="434"/>
      <c r="BMA1" s="434"/>
      <c r="BMB1" s="434"/>
      <c r="BMC1" s="434"/>
      <c r="BMD1" s="434"/>
      <c r="BME1" s="434"/>
      <c r="BMF1" s="434"/>
      <c r="BMG1" s="434"/>
      <c r="BMH1" s="434"/>
      <c r="BMI1" s="434"/>
      <c r="BMJ1" s="434"/>
      <c r="BMK1" s="434"/>
      <c r="BML1" s="434"/>
      <c r="BMM1" s="434"/>
      <c r="BMN1" s="434"/>
      <c r="BMO1" s="434"/>
      <c r="BMP1" s="434"/>
      <c r="BMQ1" s="434"/>
      <c r="BMR1" s="434"/>
      <c r="BMS1" s="434"/>
      <c r="BMT1" s="434"/>
      <c r="BMU1" s="434"/>
      <c r="BMV1" s="434"/>
      <c r="BMW1" s="434"/>
      <c r="BMX1" s="434"/>
      <c r="BMY1" s="434"/>
      <c r="BMZ1" s="434"/>
      <c r="BNA1" s="434"/>
      <c r="BNB1" s="434"/>
      <c r="BNC1" s="434"/>
      <c r="BND1" s="434"/>
      <c r="BNE1" s="434"/>
      <c r="BNF1" s="434"/>
      <c r="BNG1" s="434"/>
      <c r="BNH1" s="434"/>
      <c r="BNI1" s="434"/>
      <c r="BNJ1" s="434"/>
      <c r="BNK1" s="434"/>
      <c r="BNL1" s="434"/>
      <c r="BNM1" s="434"/>
      <c r="BNN1" s="434"/>
      <c r="BNO1" s="434"/>
      <c r="BNP1" s="434"/>
      <c r="BNQ1" s="434"/>
      <c r="BNR1" s="434"/>
      <c r="BNS1" s="434"/>
      <c r="BNT1" s="434"/>
      <c r="BNU1" s="434"/>
      <c r="BNV1" s="434"/>
      <c r="BNW1" s="434"/>
      <c r="BNX1" s="434"/>
      <c r="BNY1" s="434"/>
      <c r="BNZ1" s="434"/>
      <c r="BOA1" s="434"/>
      <c r="BOB1" s="434"/>
      <c r="BOC1" s="434"/>
      <c r="BOD1" s="434"/>
      <c r="BOE1" s="434"/>
      <c r="BOF1" s="434"/>
      <c r="BOG1" s="434"/>
      <c r="BOH1" s="434"/>
      <c r="BOI1" s="434"/>
      <c r="BOJ1" s="434"/>
      <c r="BOK1" s="434"/>
      <c r="BOL1" s="434"/>
      <c r="BOM1" s="434"/>
      <c r="BON1" s="434"/>
      <c r="BOO1" s="434"/>
      <c r="BOP1" s="434"/>
      <c r="BOQ1" s="434"/>
      <c r="BOR1" s="434"/>
      <c r="BOS1" s="434"/>
      <c r="BOT1" s="434"/>
      <c r="BOU1" s="434"/>
      <c r="BOV1" s="434"/>
      <c r="BOW1" s="434"/>
      <c r="BOX1" s="434"/>
      <c r="BOY1" s="434"/>
      <c r="BOZ1" s="434"/>
      <c r="BPA1" s="434"/>
      <c r="BPB1" s="434"/>
      <c r="BPC1" s="434"/>
      <c r="BPD1" s="434"/>
      <c r="BPE1" s="434"/>
      <c r="BPF1" s="434"/>
      <c r="BPG1" s="434"/>
      <c r="BPH1" s="434"/>
      <c r="BPI1" s="434"/>
      <c r="BPJ1" s="434"/>
      <c r="BPK1" s="434"/>
      <c r="BPL1" s="434"/>
      <c r="BPM1" s="434"/>
      <c r="BPN1" s="434"/>
      <c r="BPO1" s="434"/>
      <c r="BPP1" s="434"/>
      <c r="BPQ1" s="434"/>
      <c r="BPR1" s="434"/>
      <c r="BPS1" s="434"/>
      <c r="BPT1" s="434"/>
      <c r="BPU1" s="434"/>
      <c r="BPV1" s="434"/>
      <c r="BPW1" s="434"/>
      <c r="BPX1" s="434"/>
      <c r="BPY1" s="434"/>
      <c r="BPZ1" s="434"/>
      <c r="BQA1" s="434"/>
      <c r="BQB1" s="434"/>
      <c r="BQC1" s="434"/>
      <c r="BQD1" s="434"/>
      <c r="BQE1" s="434"/>
      <c r="BQF1" s="434"/>
      <c r="BQG1" s="434"/>
      <c r="BQH1" s="434"/>
      <c r="BQI1" s="434"/>
      <c r="BQJ1" s="434"/>
      <c r="BQK1" s="434"/>
      <c r="BQL1" s="434"/>
      <c r="BQM1" s="434"/>
      <c r="BQN1" s="434"/>
      <c r="BQO1" s="434"/>
      <c r="BQP1" s="434"/>
      <c r="BQQ1" s="434"/>
      <c r="BQR1" s="434"/>
      <c r="BQS1" s="434"/>
      <c r="BQT1" s="434"/>
      <c r="BQU1" s="434"/>
      <c r="BQV1" s="434"/>
      <c r="BQW1" s="434"/>
      <c r="BQX1" s="434"/>
      <c r="BQY1" s="434"/>
      <c r="BQZ1" s="434"/>
      <c r="BRA1" s="434"/>
      <c r="BRB1" s="434"/>
      <c r="BRC1" s="434"/>
      <c r="BRD1" s="434"/>
      <c r="BRE1" s="434"/>
      <c r="BRF1" s="434"/>
      <c r="BRG1" s="434"/>
      <c r="BRH1" s="434"/>
      <c r="BRI1" s="434"/>
      <c r="BRJ1" s="434"/>
      <c r="BRK1" s="434"/>
      <c r="BRL1" s="434"/>
      <c r="BRM1" s="434"/>
      <c r="BRN1" s="434"/>
      <c r="BRO1" s="434"/>
      <c r="BRP1" s="434"/>
      <c r="BRQ1" s="434"/>
      <c r="BRR1" s="434"/>
      <c r="BRS1" s="434"/>
      <c r="BRT1" s="434"/>
      <c r="BRU1" s="434"/>
      <c r="BRV1" s="434"/>
      <c r="BRW1" s="434"/>
      <c r="BRX1" s="434"/>
      <c r="BRY1" s="434"/>
      <c r="BRZ1" s="434"/>
      <c r="BSA1" s="434"/>
      <c r="BSB1" s="434"/>
      <c r="BSC1" s="434"/>
      <c r="BSD1" s="434"/>
      <c r="BSE1" s="434"/>
      <c r="BSF1" s="434"/>
      <c r="BSG1" s="434"/>
      <c r="BSH1" s="434"/>
      <c r="BSI1" s="434"/>
      <c r="BSJ1" s="434"/>
      <c r="BSK1" s="434"/>
      <c r="BSL1" s="434"/>
      <c r="BSM1" s="434"/>
      <c r="BSN1" s="434"/>
      <c r="BSO1" s="434"/>
      <c r="BSP1" s="434"/>
      <c r="BSQ1" s="434"/>
      <c r="BSR1" s="434"/>
      <c r="BSS1" s="434"/>
      <c r="BST1" s="434"/>
      <c r="BSU1" s="434"/>
      <c r="BSV1" s="434"/>
      <c r="BSW1" s="434"/>
      <c r="BSX1" s="434"/>
      <c r="BSY1" s="434"/>
      <c r="BSZ1" s="434"/>
      <c r="BTA1" s="434"/>
      <c r="BTB1" s="434"/>
      <c r="BTC1" s="434"/>
      <c r="BTD1" s="434"/>
      <c r="BTE1" s="434"/>
      <c r="BTF1" s="434"/>
      <c r="BTG1" s="434"/>
      <c r="BTH1" s="434"/>
      <c r="BTI1" s="434"/>
      <c r="BTJ1" s="434"/>
      <c r="BTK1" s="434"/>
      <c r="BTL1" s="434"/>
      <c r="BTM1" s="434"/>
      <c r="BTN1" s="434"/>
      <c r="BTO1" s="434"/>
      <c r="BTP1" s="434"/>
      <c r="BTQ1" s="434"/>
      <c r="BTR1" s="434"/>
      <c r="BTS1" s="434"/>
      <c r="BTT1" s="434"/>
      <c r="BTU1" s="434"/>
      <c r="BTV1" s="434"/>
      <c r="BTW1" s="434"/>
      <c r="BTX1" s="434"/>
      <c r="BTY1" s="434"/>
      <c r="BTZ1" s="434"/>
      <c r="BUA1" s="434"/>
      <c r="BUB1" s="434"/>
      <c r="BUC1" s="434"/>
      <c r="BUD1" s="434"/>
      <c r="BUE1" s="434"/>
      <c r="BUF1" s="434"/>
      <c r="BUG1" s="434"/>
      <c r="BUH1" s="434"/>
      <c r="BUI1" s="434"/>
      <c r="BUJ1" s="434"/>
      <c r="BUK1" s="434"/>
      <c r="BUL1" s="434"/>
      <c r="BUM1" s="434"/>
      <c r="BUN1" s="434"/>
      <c r="BUO1" s="434"/>
      <c r="BUP1" s="434"/>
      <c r="BUQ1" s="434"/>
      <c r="BUR1" s="434"/>
      <c r="BUS1" s="434"/>
      <c r="BUT1" s="434"/>
      <c r="BUU1" s="434"/>
      <c r="BUV1" s="434"/>
      <c r="BUW1" s="434"/>
      <c r="BUX1" s="434"/>
      <c r="BUY1" s="434"/>
      <c r="BUZ1" s="434"/>
      <c r="BVA1" s="434"/>
      <c r="BVB1" s="434"/>
      <c r="BVC1" s="434"/>
      <c r="BVD1" s="434"/>
      <c r="BVE1" s="434"/>
      <c r="BVF1" s="434"/>
      <c r="BVG1" s="434"/>
      <c r="BVH1" s="434"/>
      <c r="BVI1" s="434"/>
      <c r="BVJ1" s="434"/>
      <c r="BVK1" s="434"/>
      <c r="BVL1" s="434"/>
      <c r="BVM1" s="434"/>
      <c r="BVN1" s="434"/>
      <c r="BVO1" s="434"/>
      <c r="BVP1" s="434"/>
      <c r="BVQ1" s="434"/>
      <c r="BVR1" s="434"/>
      <c r="BVS1" s="434"/>
      <c r="BVT1" s="434"/>
      <c r="BVU1" s="434"/>
      <c r="BVV1" s="434"/>
      <c r="BVW1" s="434"/>
      <c r="BVX1" s="434"/>
      <c r="BVY1" s="434"/>
      <c r="BVZ1" s="434"/>
      <c r="BWA1" s="434"/>
      <c r="BWB1" s="434"/>
      <c r="BWC1" s="434"/>
      <c r="BWD1" s="434"/>
      <c r="BWE1" s="434"/>
      <c r="BWF1" s="434"/>
      <c r="BWG1" s="434"/>
      <c r="BWH1" s="434"/>
      <c r="BWI1" s="434"/>
      <c r="BWJ1" s="434"/>
      <c r="BWK1" s="434"/>
      <c r="BWL1" s="434"/>
      <c r="BWM1" s="434"/>
      <c r="BWN1" s="434"/>
      <c r="BWO1" s="434"/>
      <c r="BWP1" s="434"/>
      <c r="BWQ1" s="434"/>
      <c r="BWR1" s="434"/>
      <c r="BWS1" s="434"/>
      <c r="BWT1" s="434"/>
      <c r="BWU1" s="434"/>
      <c r="BWV1" s="434"/>
      <c r="BWW1" s="434"/>
      <c r="BWX1" s="434"/>
      <c r="BWY1" s="434"/>
      <c r="BWZ1" s="434"/>
      <c r="BXA1" s="434"/>
      <c r="BXB1" s="434"/>
      <c r="BXC1" s="434"/>
      <c r="BXD1" s="434"/>
      <c r="BXE1" s="434"/>
      <c r="BXF1" s="434"/>
      <c r="BXG1" s="434"/>
      <c r="BXH1" s="434"/>
      <c r="BXI1" s="434"/>
      <c r="BXJ1" s="434"/>
      <c r="BXK1" s="434"/>
      <c r="BXL1" s="434"/>
      <c r="BXM1" s="434"/>
      <c r="BXN1" s="434"/>
      <c r="BXO1" s="434"/>
      <c r="BXP1" s="434"/>
      <c r="BXQ1" s="434"/>
      <c r="BXR1" s="434"/>
      <c r="BXS1" s="434"/>
      <c r="BXT1" s="434"/>
      <c r="BXU1" s="434"/>
      <c r="BXV1" s="434"/>
      <c r="BXW1" s="434"/>
      <c r="BXX1" s="434"/>
      <c r="BXY1" s="434"/>
      <c r="BXZ1" s="434"/>
      <c r="BYA1" s="434"/>
      <c r="BYB1" s="434"/>
      <c r="BYC1" s="434"/>
      <c r="BYD1" s="434"/>
      <c r="BYE1" s="434"/>
      <c r="BYF1" s="434"/>
      <c r="BYG1" s="434"/>
      <c r="BYH1" s="434"/>
      <c r="BYI1" s="434"/>
      <c r="BYJ1" s="434"/>
      <c r="BYK1" s="434"/>
      <c r="BYL1" s="434"/>
      <c r="BYM1" s="434"/>
      <c r="BYN1" s="434"/>
      <c r="BYO1" s="434"/>
      <c r="BYP1" s="434"/>
      <c r="BYQ1" s="434"/>
      <c r="BYR1" s="434"/>
      <c r="BYS1" s="434"/>
      <c r="BYT1" s="434"/>
      <c r="BYU1" s="434"/>
      <c r="BYV1" s="434"/>
      <c r="BYW1" s="434"/>
      <c r="BYX1" s="434"/>
      <c r="BYY1" s="434"/>
      <c r="BYZ1" s="434"/>
      <c r="BZA1" s="434"/>
      <c r="BZB1" s="434"/>
      <c r="BZC1" s="434"/>
      <c r="BZD1" s="434"/>
      <c r="BZE1" s="434"/>
      <c r="BZF1" s="434"/>
      <c r="BZG1" s="434"/>
      <c r="BZH1" s="434"/>
      <c r="BZI1" s="434"/>
      <c r="BZJ1" s="434"/>
      <c r="BZK1" s="434"/>
      <c r="BZL1" s="434"/>
      <c r="BZM1" s="434"/>
      <c r="BZN1" s="434"/>
      <c r="BZO1" s="434"/>
      <c r="BZP1" s="434"/>
      <c r="BZQ1" s="434"/>
      <c r="BZR1" s="434"/>
      <c r="BZS1" s="434"/>
      <c r="BZT1" s="434"/>
      <c r="BZU1" s="434"/>
      <c r="BZV1" s="434"/>
      <c r="BZW1" s="434"/>
      <c r="BZX1" s="434"/>
      <c r="BZY1" s="434"/>
      <c r="BZZ1" s="434"/>
      <c r="CAA1" s="434"/>
      <c r="CAB1" s="434"/>
      <c r="CAC1" s="434"/>
      <c r="CAD1" s="434"/>
      <c r="CAE1" s="434"/>
      <c r="CAF1" s="434"/>
      <c r="CAG1" s="434"/>
      <c r="CAH1" s="434"/>
      <c r="CAI1" s="434"/>
      <c r="CAJ1" s="434"/>
      <c r="CAK1" s="434"/>
      <c r="CAL1" s="434"/>
      <c r="CAM1" s="434"/>
      <c r="CAN1" s="434"/>
      <c r="CAO1" s="434"/>
      <c r="CAP1" s="434"/>
      <c r="CAQ1" s="434"/>
      <c r="CAR1" s="434"/>
      <c r="CAS1" s="434"/>
      <c r="CAT1" s="434"/>
      <c r="CAU1" s="434"/>
      <c r="CAV1" s="434"/>
      <c r="CAW1" s="434"/>
      <c r="CAX1" s="434"/>
      <c r="CAY1" s="434"/>
      <c r="CAZ1" s="434"/>
      <c r="CBA1" s="434"/>
      <c r="CBB1" s="434"/>
      <c r="CBC1" s="434"/>
      <c r="CBD1" s="434"/>
      <c r="CBE1" s="434"/>
      <c r="CBF1" s="434"/>
      <c r="CBG1" s="434"/>
      <c r="CBH1" s="434"/>
      <c r="CBI1" s="434"/>
      <c r="CBJ1" s="434"/>
      <c r="CBK1" s="434"/>
      <c r="CBL1" s="434"/>
      <c r="CBM1" s="434"/>
      <c r="CBN1" s="434"/>
      <c r="CBO1" s="434"/>
      <c r="CBP1" s="434"/>
      <c r="CBQ1" s="434"/>
      <c r="CBR1" s="434"/>
      <c r="CBS1" s="434"/>
      <c r="CBT1" s="434"/>
      <c r="CBU1" s="434"/>
      <c r="CBV1" s="434"/>
      <c r="CBW1" s="434"/>
      <c r="CBX1" s="434"/>
      <c r="CBY1" s="434"/>
      <c r="CBZ1" s="434"/>
      <c r="CCA1" s="434"/>
      <c r="CCB1" s="434"/>
      <c r="CCC1" s="434"/>
      <c r="CCD1" s="434"/>
      <c r="CCE1" s="434"/>
      <c r="CCF1" s="434"/>
      <c r="CCG1" s="434"/>
      <c r="CCH1" s="434"/>
      <c r="CCI1" s="434"/>
      <c r="CCJ1" s="434"/>
      <c r="CCK1" s="434"/>
      <c r="CCL1" s="434"/>
      <c r="CCM1" s="434"/>
      <c r="CCN1" s="434"/>
      <c r="CCO1" s="434"/>
      <c r="CCP1" s="434"/>
      <c r="CCQ1" s="434"/>
      <c r="CCR1" s="434"/>
      <c r="CCS1" s="434"/>
      <c r="CCT1" s="434"/>
      <c r="CCU1" s="434"/>
      <c r="CCV1" s="434"/>
      <c r="CCW1" s="434"/>
      <c r="CCX1" s="434"/>
      <c r="CCY1" s="434"/>
      <c r="CCZ1" s="434"/>
      <c r="CDA1" s="434"/>
      <c r="CDB1" s="434"/>
      <c r="CDC1" s="434"/>
      <c r="CDD1" s="434"/>
      <c r="CDE1" s="434"/>
      <c r="CDF1" s="434"/>
      <c r="CDG1" s="434"/>
      <c r="CDH1" s="434"/>
      <c r="CDI1" s="434"/>
      <c r="CDJ1" s="434"/>
      <c r="CDK1" s="434"/>
      <c r="CDL1" s="434"/>
      <c r="CDM1" s="434"/>
      <c r="CDN1" s="434"/>
      <c r="CDO1" s="434"/>
      <c r="CDP1" s="434"/>
      <c r="CDQ1" s="434"/>
      <c r="CDR1" s="434"/>
      <c r="CDS1" s="434"/>
      <c r="CDT1" s="434"/>
      <c r="CDU1" s="434"/>
      <c r="CDV1" s="434"/>
      <c r="CDW1" s="434"/>
      <c r="CDX1" s="434"/>
      <c r="CDY1" s="434"/>
      <c r="CDZ1" s="434"/>
      <c r="CEA1" s="434"/>
      <c r="CEB1" s="434"/>
      <c r="CEC1" s="434"/>
      <c r="CED1" s="434"/>
      <c r="CEE1" s="434"/>
      <c r="CEF1" s="434"/>
      <c r="CEG1" s="434"/>
      <c r="CEH1" s="434"/>
      <c r="CEI1" s="434"/>
      <c r="CEJ1" s="434"/>
      <c r="CEK1" s="434"/>
      <c r="CEL1" s="434"/>
      <c r="CEM1" s="434"/>
      <c r="CEN1" s="434"/>
      <c r="CEO1" s="434"/>
      <c r="CEP1" s="434"/>
      <c r="CEQ1" s="434"/>
      <c r="CER1" s="434"/>
      <c r="CES1" s="434"/>
      <c r="CET1" s="434"/>
      <c r="CEU1" s="434"/>
      <c r="CEV1" s="434"/>
      <c r="CEW1" s="434"/>
      <c r="CEX1" s="434"/>
      <c r="CEY1" s="434"/>
      <c r="CEZ1" s="434"/>
      <c r="CFA1" s="434"/>
      <c r="CFB1" s="434"/>
      <c r="CFC1" s="434"/>
      <c r="CFD1" s="434"/>
      <c r="CFE1" s="434"/>
      <c r="CFF1" s="434"/>
      <c r="CFG1" s="434"/>
      <c r="CFH1" s="434"/>
      <c r="CFI1" s="434"/>
      <c r="CFJ1" s="434"/>
      <c r="CFK1" s="434"/>
      <c r="CFL1" s="434"/>
      <c r="CFM1" s="434"/>
      <c r="CFN1" s="434"/>
      <c r="CFO1" s="434"/>
      <c r="CFP1" s="434"/>
      <c r="CFQ1" s="434"/>
      <c r="CFR1" s="434"/>
      <c r="CFS1" s="434"/>
      <c r="CFT1" s="434"/>
      <c r="CFU1" s="434"/>
      <c r="CFV1" s="434"/>
      <c r="CFW1" s="434"/>
      <c r="CFX1" s="434"/>
      <c r="CFY1" s="434"/>
      <c r="CFZ1" s="434"/>
      <c r="CGA1" s="434"/>
      <c r="CGB1" s="434"/>
      <c r="CGC1" s="434"/>
      <c r="CGD1" s="434"/>
      <c r="CGE1" s="434"/>
      <c r="CGF1" s="434"/>
      <c r="CGG1" s="434"/>
      <c r="CGH1" s="434"/>
      <c r="CGI1" s="434"/>
      <c r="CGJ1" s="434"/>
      <c r="CGK1" s="434"/>
      <c r="CGL1" s="434"/>
      <c r="CGM1" s="434"/>
      <c r="CGN1" s="434"/>
      <c r="CGO1" s="434"/>
      <c r="CGP1" s="434"/>
      <c r="CGQ1" s="434"/>
      <c r="CGR1" s="434"/>
      <c r="CGS1" s="434"/>
      <c r="CGT1" s="434"/>
      <c r="CGU1" s="434"/>
      <c r="CGV1" s="434"/>
      <c r="CGW1" s="434"/>
      <c r="CGX1" s="434"/>
      <c r="CGY1" s="434"/>
      <c r="CGZ1" s="434"/>
      <c r="CHA1" s="434"/>
      <c r="CHB1" s="434"/>
      <c r="CHC1" s="434"/>
      <c r="CHD1" s="434"/>
      <c r="CHE1" s="434"/>
      <c r="CHF1" s="434"/>
      <c r="CHG1" s="434"/>
      <c r="CHH1" s="434"/>
      <c r="CHI1" s="434"/>
      <c r="CHJ1" s="434"/>
      <c r="CHK1" s="434"/>
      <c r="CHL1" s="434"/>
      <c r="CHM1" s="434"/>
      <c r="CHN1" s="434"/>
      <c r="CHO1" s="434"/>
      <c r="CHP1" s="434"/>
      <c r="CHQ1" s="434"/>
      <c r="CHR1" s="434"/>
      <c r="CHS1" s="434"/>
      <c r="CHT1" s="434"/>
      <c r="CHU1" s="434"/>
      <c r="CHV1" s="434"/>
      <c r="CHW1" s="434"/>
      <c r="CHX1" s="434"/>
      <c r="CHY1" s="434"/>
      <c r="CHZ1" s="434"/>
      <c r="CIA1" s="434"/>
      <c r="CIB1" s="434"/>
      <c r="CIC1" s="434"/>
      <c r="CID1" s="434"/>
      <c r="CIE1" s="434"/>
      <c r="CIF1" s="434"/>
      <c r="CIG1" s="434"/>
      <c r="CIH1" s="434"/>
      <c r="CII1" s="434"/>
      <c r="CIJ1" s="434"/>
      <c r="CIK1" s="434"/>
      <c r="CIL1" s="434"/>
      <c r="CIM1" s="434"/>
      <c r="CIN1" s="434"/>
      <c r="CIO1" s="434"/>
      <c r="CIP1" s="434"/>
      <c r="CIQ1" s="434"/>
      <c r="CIR1" s="434"/>
      <c r="CIS1" s="434"/>
      <c r="CIT1" s="434"/>
      <c r="CIU1" s="434"/>
      <c r="CIV1" s="434"/>
      <c r="CIW1" s="434"/>
      <c r="CIX1" s="434"/>
      <c r="CIY1" s="434"/>
      <c r="CIZ1" s="434"/>
      <c r="CJA1" s="434"/>
      <c r="CJB1" s="434"/>
      <c r="CJC1" s="434"/>
      <c r="CJD1" s="434"/>
      <c r="CJE1" s="434"/>
      <c r="CJF1" s="434"/>
      <c r="CJG1" s="434"/>
      <c r="CJH1" s="434"/>
      <c r="CJI1" s="434"/>
      <c r="CJJ1" s="434"/>
      <c r="CJK1" s="434"/>
      <c r="CJL1" s="434"/>
      <c r="CJM1" s="434"/>
      <c r="CJN1" s="434"/>
      <c r="CJO1" s="434"/>
      <c r="CJP1" s="434"/>
      <c r="CJQ1" s="434"/>
      <c r="CJR1" s="434"/>
      <c r="CJS1" s="434"/>
      <c r="CJT1" s="434"/>
      <c r="CJU1" s="434"/>
      <c r="CJV1" s="434"/>
      <c r="CJW1" s="434"/>
      <c r="CJX1" s="434"/>
      <c r="CJY1" s="434"/>
      <c r="CJZ1" s="434"/>
      <c r="CKA1" s="434"/>
      <c r="CKB1" s="434"/>
      <c r="CKC1" s="434"/>
      <c r="CKD1" s="434"/>
      <c r="CKE1" s="434"/>
      <c r="CKF1" s="434"/>
      <c r="CKG1" s="434"/>
      <c r="CKH1" s="434"/>
      <c r="CKI1" s="434"/>
      <c r="CKJ1" s="434"/>
      <c r="CKK1" s="434"/>
      <c r="CKL1" s="434"/>
      <c r="CKM1" s="434"/>
      <c r="CKN1" s="434"/>
      <c r="CKO1" s="434"/>
      <c r="CKP1" s="434"/>
      <c r="CKQ1" s="434"/>
      <c r="CKR1" s="434"/>
      <c r="CKS1" s="434"/>
      <c r="CKT1" s="434"/>
      <c r="CKU1" s="434"/>
      <c r="CKV1" s="434"/>
      <c r="CKW1" s="434"/>
      <c r="CKX1" s="434"/>
      <c r="CKY1" s="434"/>
      <c r="CKZ1" s="434"/>
      <c r="CLA1" s="434"/>
      <c r="CLB1" s="434"/>
      <c r="CLC1" s="434"/>
      <c r="CLD1" s="434"/>
      <c r="CLE1" s="434"/>
      <c r="CLF1" s="434"/>
      <c r="CLG1" s="434"/>
      <c r="CLH1" s="434"/>
      <c r="CLI1" s="434"/>
      <c r="CLJ1" s="434"/>
      <c r="CLK1" s="434"/>
      <c r="CLL1" s="434"/>
      <c r="CLM1" s="434"/>
      <c r="CLN1" s="434"/>
      <c r="CLO1" s="434"/>
      <c r="CLP1" s="434"/>
      <c r="CLQ1" s="434"/>
      <c r="CLR1" s="434"/>
      <c r="CLS1" s="434"/>
      <c r="CLT1" s="434"/>
      <c r="CLU1" s="434"/>
      <c r="CLV1" s="434"/>
      <c r="CLW1" s="434"/>
      <c r="CLX1" s="434"/>
      <c r="CLY1" s="434"/>
      <c r="CLZ1" s="434"/>
      <c r="CMA1" s="434"/>
      <c r="CMB1" s="434"/>
      <c r="CMC1" s="434"/>
      <c r="CMD1" s="434"/>
      <c r="CME1" s="434"/>
      <c r="CMF1" s="434"/>
      <c r="CMG1" s="434"/>
      <c r="CMH1" s="434"/>
      <c r="CMI1" s="434"/>
      <c r="CMJ1" s="434"/>
      <c r="CMK1" s="434"/>
      <c r="CML1" s="434"/>
      <c r="CMM1" s="434"/>
      <c r="CMN1" s="434"/>
      <c r="CMO1" s="434"/>
      <c r="CMP1" s="434"/>
      <c r="CMQ1" s="434"/>
      <c r="CMR1" s="434"/>
      <c r="CMS1" s="434"/>
      <c r="CMT1" s="434"/>
      <c r="CMU1" s="434"/>
      <c r="CMV1" s="434"/>
      <c r="CMW1" s="434"/>
      <c r="CMX1" s="434"/>
      <c r="CMY1" s="434"/>
      <c r="CMZ1" s="434"/>
      <c r="CNA1" s="434"/>
      <c r="CNB1" s="434"/>
      <c r="CNC1" s="434"/>
      <c r="CND1" s="434"/>
      <c r="CNE1" s="434"/>
      <c r="CNF1" s="434"/>
      <c r="CNG1" s="434"/>
      <c r="CNH1" s="434"/>
      <c r="CNI1" s="434"/>
      <c r="CNJ1" s="434"/>
      <c r="CNK1" s="434"/>
      <c r="CNL1" s="434"/>
      <c r="CNM1" s="434"/>
      <c r="CNN1" s="434"/>
      <c r="CNO1" s="434"/>
      <c r="CNP1" s="434"/>
      <c r="CNQ1" s="434"/>
      <c r="CNR1" s="434"/>
      <c r="CNS1" s="434"/>
      <c r="CNT1" s="434"/>
      <c r="CNU1" s="434"/>
      <c r="CNV1" s="434"/>
      <c r="CNW1" s="434"/>
      <c r="CNX1" s="434"/>
      <c r="CNY1" s="434"/>
      <c r="CNZ1" s="434"/>
      <c r="COA1" s="434"/>
      <c r="COB1" s="434"/>
      <c r="COC1" s="434"/>
      <c r="COD1" s="434"/>
      <c r="COE1" s="434"/>
      <c r="COF1" s="434"/>
      <c r="COG1" s="434"/>
      <c r="COH1" s="434"/>
      <c r="COI1" s="434"/>
      <c r="COJ1" s="434"/>
      <c r="COK1" s="434"/>
      <c r="COL1" s="434"/>
      <c r="COM1" s="434"/>
      <c r="CON1" s="434"/>
      <c r="COO1" s="434"/>
      <c r="COP1" s="434"/>
      <c r="COQ1" s="434"/>
      <c r="COR1" s="434"/>
      <c r="COS1" s="434"/>
      <c r="COT1" s="434"/>
      <c r="COU1" s="434"/>
      <c r="COV1" s="434"/>
      <c r="COW1" s="434"/>
      <c r="COX1" s="434"/>
      <c r="COY1" s="434"/>
      <c r="COZ1" s="434"/>
      <c r="CPA1" s="434"/>
      <c r="CPB1" s="434"/>
      <c r="CPC1" s="434"/>
      <c r="CPD1" s="434"/>
      <c r="CPE1" s="434"/>
      <c r="CPF1" s="434"/>
      <c r="CPG1" s="434"/>
      <c r="CPH1" s="434"/>
      <c r="CPI1" s="434"/>
      <c r="CPJ1" s="434"/>
      <c r="CPK1" s="434"/>
      <c r="CPL1" s="434"/>
      <c r="CPM1" s="434"/>
      <c r="CPN1" s="434"/>
      <c r="CPO1" s="434"/>
      <c r="CPP1" s="434"/>
      <c r="CPQ1" s="434"/>
      <c r="CPR1" s="434"/>
      <c r="CPS1" s="434"/>
      <c r="CPT1" s="434"/>
      <c r="CPU1" s="434"/>
      <c r="CPV1" s="434"/>
      <c r="CPW1" s="434"/>
      <c r="CPX1" s="434"/>
      <c r="CPY1" s="434"/>
      <c r="CPZ1" s="434"/>
      <c r="CQA1" s="434"/>
      <c r="CQB1" s="434"/>
      <c r="CQC1" s="434"/>
      <c r="CQD1" s="434"/>
      <c r="CQE1" s="434"/>
      <c r="CQF1" s="434"/>
      <c r="CQG1" s="434"/>
      <c r="CQH1" s="434"/>
      <c r="CQI1" s="434"/>
      <c r="CQJ1" s="434"/>
      <c r="CQK1" s="434"/>
      <c r="CQL1" s="434"/>
      <c r="CQM1" s="434"/>
      <c r="CQN1" s="434"/>
      <c r="CQO1" s="434"/>
      <c r="CQP1" s="434"/>
      <c r="CQQ1" s="434"/>
      <c r="CQR1" s="434"/>
      <c r="CQS1" s="434"/>
      <c r="CQT1" s="434"/>
      <c r="CQU1" s="434"/>
      <c r="CQV1" s="434"/>
      <c r="CQW1" s="434"/>
      <c r="CQX1" s="434"/>
      <c r="CQY1" s="434"/>
      <c r="CQZ1" s="434"/>
      <c r="CRA1" s="434"/>
      <c r="CRB1" s="434"/>
      <c r="CRC1" s="434"/>
      <c r="CRD1" s="434"/>
      <c r="CRE1" s="434"/>
      <c r="CRF1" s="434"/>
      <c r="CRG1" s="434"/>
      <c r="CRH1" s="434"/>
      <c r="CRI1" s="434"/>
      <c r="CRJ1" s="434"/>
      <c r="CRK1" s="434"/>
      <c r="CRL1" s="434"/>
      <c r="CRM1" s="434"/>
      <c r="CRN1" s="434"/>
      <c r="CRO1" s="434"/>
      <c r="CRP1" s="434"/>
      <c r="CRQ1" s="434"/>
      <c r="CRR1" s="434"/>
      <c r="CRS1" s="434"/>
      <c r="CRT1" s="434"/>
      <c r="CRU1" s="434"/>
      <c r="CRV1" s="434"/>
      <c r="CRW1" s="434"/>
      <c r="CRX1" s="434"/>
      <c r="CRY1" s="434"/>
      <c r="CRZ1" s="434"/>
      <c r="CSA1" s="434"/>
      <c r="CSB1" s="434"/>
      <c r="CSC1" s="434"/>
      <c r="CSD1" s="434"/>
      <c r="CSE1" s="434"/>
      <c r="CSF1" s="434"/>
      <c r="CSG1" s="434"/>
      <c r="CSH1" s="434"/>
      <c r="CSI1" s="434"/>
      <c r="CSJ1" s="434"/>
      <c r="CSK1" s="434"/>
      <c r="CSL1" s="434"/>
      <c r="CSM1" s="434"/>
      <c r="CSN1" s="434"/>
      <c r="CSO1" s="434"/>
      <c r="CSP1" s="434"/>
      <c r="CSQ1" s="434"/>
      <c r="CSR1" s="434"/>
      <c r="CSS1" s="434"/>
      <c r="CST1" s="434"/>
      <c r="CSU1" s="434"/>
      <c r="CSV1" s="434"/>
      <c r="CSW1" s="434"/>
      <c r="CSX1" s="434"/>
      <c r="CSY1" s="434"/>
      <c r="CSZ1" s="434"/>
      <c r="CTA1" s="434"/>
      <c r="CTB1" s="434"/>
      <c r="CTC1" s="434"/>
      <c r="CTD1" s="434"/>
      <c r="CTE1" s="434"/>
      <c r="CTF1" s="434"/>
      <c r="CTG1" s="434"/>
      <c r="CTH1" s="434"/>
      <c r="CTI1" s="434"/>
      <c r="CTJ1" s="434"/>
      <c r="CTK1" s="434"/>
      <c r="CTL1" s="434"/>
      <c r="CTM1" s="434"/>
      <c r="CTN1" s="434"/>
      <c r="CTO1" s="434"/>
      <c r="CTP1" s="434"/>
      <c r="CTQ1" s="434"/>
      <c r="CTR1" s="434"/>
      <c r="CTS1" s="434"/>
      <c r="CTT1" s="434"/>
      <c r="CTU1" s="434"/>
      <c r="CTV1" s="434"/>
      <c r="CTW1" s="434"/>
      <c r="CTX1" s="434"/>
      <c r="CTY1" s="434"/>
      <c r="CTZ1" s="434"/>
      <c r="CUA1" s="434"/>
      <c r="CUB1" s="434"/>
      <c r="CUC1" s="434"/>
      <c r="CUD1" s="434"/>
      <c r="CUE1" s="434"/>
      <c r="CUF1" s="434"/>
      <c r="CUG1" s="434"/>
      <c r="CUH1" s="434"/>
      <c r="CUI1" s="434"/>
      <c r="CUJ1" s="434"/>
      <c r="CUK1" s="434"/>
      <c r="CUL1" s="434"/>
      <c r="CUM1" s="434"/>
      <c r="CUN1" s="434"/>
      <c r="CUO1" s="434"/>
      <c r="CUP1" s="434"/>
      <c r="CUQ1" s="434"/>
      <c r="CUR1" s="434"/>
      <c r="CUS1" s="434"/>
      <c r="CUT1" s="434"/>
      <c r="CUU1" s="434"/>
      <c r="CUV1" s="434"/>
      <c r="CUW1" s="434"/>
      <c r="CUX1" s="434"/>
      <c r="CUY1" s="434"/>
      <c r="CUZ1" s="434"/>
      <c r="CVA1" s="434"/>
      <c r="CVB1" s="434"/>
      <c r="CVC1" s="434"/>
      <c r="CVD1" s="434"/>
      <c r="CVE1" s="434"/>
      <c r="CVF1" s="434"/>
      <c r="CVG1" s="434"/>
      <c r="CVH1" s="434"/>
      <c r="CVI1" s="434"/>
      <c r="CVJ1" s="434"/>
      <c r="CVK1" s="434"/>
      <c r="CVL1" s="434"/>
      <c r="CVM1" s="434"/>
      <c r="CVN1" s="434"/>
      <c r="CVO1" s="434"/>
      <c r="CVP1" s="434"/>
      <c r="CVQ1" s="434"/>
      <c r="CVR1" s="434"/>
      <c r="CVS1" s="434"/>
      <c r="CVT1" s="434"/>
      <c r="CVU1" s="434"/>
      <c r="CVV1" s="434"/>
      <c r="CVW1" s="434"/>
      <c r="CVX1" s="434"/>
      <c r="CVY1" s="434"/>
      <c r="CVZ1" s="434"/>
      <c r="CWA1" s="434"/>
      <c r="CWB1" s="434"/>
      <c r="CWC1" s="434"/>
      <c r="CWD1" s="434"/>
      <c r="CWE1" s="434"/>
      <c r="CWF1" s="434"/>
      <c r="CWG1" s="434"/>
      <c r="CWH1" s="434"/>
      <c r="CWI1" s="434"/>
      <c r="CWJ1" s="434"/>
      <c r="CWK1" s="434"/>
      <c r="CWL1" s="434"/>
      <c r="CWM1" s="434"/>
      <c r="CWN1" s="434"/>
      <c r="CWO1" s="434"/>
      <c r="CWP1" s="434"/>
      <c r="CWQ1" s="434"/>
      <c r="CWR1" s="434"/>
      <c r="CWS1" s="434"/>
      <c r="CWT1" s="434"/>
      <c r="CWU1" s="434"/>
      <c r="CWV1" s="434"/>
      <c r="CWW1" s="434"/>
      <c r="CWX1" s="434"/>
      <c r="CWY1" s="434"/>
      <c r="CWZ1" s="434"/>
      <c r="CXA1" s="434"/>
      <c r="CXB1" s="434"/>
      <c r="CXC1" s="434"/>
      <c r="CXD1" s="434"/>
      <c r="CXE1" s="434"/>
      <c r="CXF1" s="434"/>
      <c r="CXG1" s="434"/>
      <c r="CXH1" s="434"/>
      <c r="CXI1" s="434"/>
      <c r="CXJ1" s="434"/>
      <c r="CXK1" s="434"/>
      <c r="CXL1" s="434"/>
      <c r="CXM1" s="434"/>
      <c r="CXN1" s="434"/>
      <c r="CXO1" s="434"/>
      <c r="CXP1" s="434"/>
      <c r="CXQ1" s="434"/>
      <c r="CXR1" s="434"/>
      <c r="CXS1" s="434"/>
      <c r="CXT1" s="434"/>
      <c r="CXU1" s="434"/>
      <c r="CXV1" s="434"/>
      <c r="CXW1" s="434"/>
      <c r="CXX1" s="434"/>
      <c r="CXY1" s="434"/>
      <c r="CXZ1" s="434"/>
      <c r="CYA1" s="434"/>
      <c r="CYB1" s="434"/>
      <c r="CYC1" s="434"/>
      <c r="CYD1" s="434"/>
      <c r="CYE1" s="434"/>
      <c r="CYF1" s="434"/>
      <c r="CYG1" s="434"/>
      <c r="CYH1" s="434"/>
      <c r="CYI1" s="434"/>
      <c r="CYJ1" s="434"/>
      <c r="CYK1" s="434"/>
      <c r="CYL1" s="434"/>
      <c r="CYM1" s="434"/>
      <c r="CYN1" s="434"/>
      <c r="CYO1" s="434"/>
      <c r="CYP1" s="434"/>
      <c r="CYQ1" s="434"/>
      <c r="CYR1" s="434"/>
      <c r="CYS1" s="434"/>
      <c r="CYT1" s="434"/>
      <c r="CYU1" s="434"/>
      <c r="CYV1" s="434"/>
      <c r="CYW1" s="434"/>
      <c r="CYX1" s="434"/>
      <c r="CYY1" s="434"/>
      <c r="CYZ1" s="434"/>
      <c r="CZA1" s="434"/>
      <c r="CZB1" s="434"/>
      <c r="CZC1" s="434"/>
      <c r="CZD1" s="434"/>
      <c r="CZE1" s="434"/>
      <c r="CZF1" s="434"/>
      <c r="CZG1" s="434"/>
      <c r="CZH1" s="434"/>
      <c r="CZI1" s="434"/>
      <c r="CZJ1" s="434"/>
      <c r="CZK1" s="434"/>
      <c r="CZL1" s="434"/>
      <c r="CZM1" s="434"/>
      <c r="CZN1" s="434"/>
      <c r="CZO1" s="434"/>
      <c r="CZP1" s="434"/>
      <c r="CZQ1" s="434"/>
      <c r="CZR1" s="434"/>
      <c r="CZS1" s="434"/>
      <c r="CZT1" s="434"/>
      <c r="CZU1" s="434"/>
      <c r="CZV1" s="434"/>
      <c r="CZW1" s="434"/>
      <c r="CZX1" s="434"/>
      <c r="CZY1" s="434"/>
      <c r="CZZ1" s="434"/>
      <c r="DAA1" s="434"/>
      <c r="DAB1" s="434"/>
      <c r="DAC1" s="434"/>
      <c r="DAD1" s="434"/>
      <c r="DAE1" s="434"/>
      <c r="DAF1" s="434"/>
      <c r="DAG1" s="434"/>
      <c r="DAH1" s="434"/>
      <c r="DAI1" s="434"/>
      <c r="DAJ1" s="434"/>
      <c r="DAK1" s="434"/>
      <c r="DAL1" s="434"/>
      <c r="DAM1" s="434"/>
      <c r="DAN1" s="434"/>
      <c r="DAO1" s="434"/>
      <c r="DAP1" s="434"/>
      <c r="DAQ1" s="434"/>
      <c r="DAR1" s="434"/>
      <c r="DAS1" s="434"/>
      <c r="DAT1" s="434"/>
      <c r="DAU1" s="434"/>
      <c r="DAV1" s="434"/>
      <c r="DAW1" s="434"/>
      <c r="DAX1" s="434"/>
      <c r="DAY1" s="434"/>
      <c r="DAZ1" s="434"/>
      <c r="DBA1" s="434"/>
      <c r="DBB1" s="434"/>
      <c r="DBC1" s="434"/>
      <c r="DBD1" s="434"/>
      <c r="DBE1" s="434"/>
      <c r="DBF1" s="434"/>
      <c r="DBG1" s="434"/>
      <c r="DBH1" s="434"/>
      <c r="DBI1" s="434"/>
      <c r="DBJ1" s="434"/>
      <c r="DBK1" s="434"/>
      <c r="DBL1" s="434"/>
      <c r="DBM1" s="434"/>
      <c r="DBN1" s="434"/>
      <c r="DBO1" s="434"/>
      <c r="DBP1" s="434"/>
      <c r="DBQ1" s="434"/>
      <c r="DBR1" s="434"/>
      <c r="DBS1" s="434"/>
      <c r="DBT1" s="434"/>
      <c r="DBU1" s="434"/>
      <c r="DBV1" s="434"/>
      <c r="DBW1" s="434"/>
      <c r="DBX1" s="434"/>
      <c r="DBY1" s="434"/>
      <c r="DBZ1" s="434"/>
      <c r="DCA1" s="434"/>
      <c r="DCB1" s="434"/>
      <c r="DCC1" s="434"/>
      <c r="DCD1" s="434"/>
      <c r="DCE1" s="434"/>
      <c r="DCF1" s="434"/>
      <c r="DCG1" s="434"/>
      <c r="DCH1" s="434"/>
      <c r="DCI1" s="434"/>
      <c r="DCJ1" s="434"/>
      <c r="DCK1" s="434"/>
      <c r="DCL1" s="434"/>
      <c r="DCM1" s="434"/>
      <c r="DCN1" s="434"/>
      <c r="DCO1" s="434"/>
      <c r="DCP1" s="434"/>
      <c r="DCQ1" s="434"/>
      <c r="DCR1" s="434"/>
      <c r="DCS1" s="434"/>
      <c r="DCT1" s="434"/>
      <c r="DCU1" s="434"/>
      <c r="DCV1" s="434"/>
      <c r="DCW1" s="434"/>
      <c r="DCX1" s="434"/>
      <c r="DCY1" s="434"/>
      <c r="DCZ1" s="434"/>
      <c r="DDA1" s="434"/>
      <c r="DDB1" s="434"/>
      <c r="DDC1" s="434"/>
      <c r="DDD1" s="434"/>
      <c r="DDE1" s="434"/>
      <c r="DDF1" s="434"/>
      <c r="DDG1" s="434"/>
      <c r="DDH1" s="434"/>
      <c r="DDI1" s="434"/>
      <c r="DDJ1" s="434"/>
      <c r="DDK1" s="434"/>
      <c r="DDL1" s="434"/>
      <c r="DDM1" s="434"/>
      <c r="DDN1" s="434"/>
      <c r="DDO1" s="434"/>
      <c r="DDP1" s="434"/>
      <c r="DDQ1" s="434"/>
      <c r="DDR1" s="434"/>
      <c r="DDS1" s="434"/>
      <c r="DDT1" s="434"/>
      <c r="DDU1" s="434"/>
      <c r="DDV1" s="434"/>
      <c r="DDW1" s="434"/>
      <c r="DDX1" s="434"/>
      <c r="DDY1" s="434"/>
      <c r="DDZ1" s="434"/>
      <c r="DEA1" s="434"/>
      <c r="DEB1" s="434"/>
      <c r="DEC1" s="434"/>
      <c r="DED1" s="434"/>
      <c r="DEE1" s="434"/>
      <c r="DEF1" s="434"/>
      <c r="DEG1" s="434"/>
      <c r="DEH1" s="434"/>
      <c r="DEI1" s="434"/>
      <c r="DEJ1" s="434"/>
      <c r="DEK1" s="434"/>
      <c r="DEL1" s="434"/>
      <c r="DEM1" s="434"/>
      <c r="DEN1" s="434"/>
      <c r="DEO1" s="434"/>
      <c r="DEP1" s="434"/>
      <c r="DEQ1" s="434"/>
      <c r="DER1" s="434"/>
      <c r="DES1" s="434"/>
      <c r="DET1" s="434"/>
      <c r="DEU1" s="434"/>
      <c r="DEV1" s="434"/>
      <c r="DEW1" s="434"/>
      <c r="DEX1" s="434"/>
      <c r="DEY1" s="434"/>
      <c r="DEZ1" s="434"/>
      <c r="DFA1" s="434"/>
      <c r="DFB1" s="434"/>
      <c r="DFC1" s="434"/>
      <c r="DFD1" s="434"/>
      <c r="DFE1" s="434"/>
      <c r="DFF1" s="434"/>
      <c r="DFG1" s="434"/>
      <c r="DFH1" s="434"/>
      <c r="DFI1" s="434"/>
      <c r="DFJ1" s="434"/>
      <c r="DFK1" s="434"/>
      <c r="DFL1" s="434"/>
      <c r="DFM1" s="434"/>
      <c r="DFN1" s="434"/>
      <c r="DFO1" s="434"/>
      <c r="DFP1" s="434"/>
      <c r="DFQ1" s="434"/>
      <c r="DFR1" s="434"/>
      <c r="DFS1" s="434"/>
      <c r="DFT1" s="434"/>
      <c r="DFU1" s="434"/>
      <c r="DFV1" s="434"/>
      <c r="DFW1" s="434"/>
      <c r="DFX1" s="434"/>
      <c r="DFY1" s="434"/>
      <c r="DFZ1" s="434"/>
      <c r="DGA1" s="434"/>
      <c r="DGB1" s="434"/>
      <c r="DGC1" s="434"/>
      <c r="DGD1" s="434"/>
      <c r="DGE1" s="434"/>
      <c r="DGF1" s="434"/>
      <c r="DGG1" s="434"/>
      <c r="DGH1" s="434"/>
      <c r="DGI1" s="434"/>
      <c r="DGJ1" s="434"/>
      <c r="DGK1" s="434"/>
      <c r="DGL1" s="434"/>
      <c r="DGM1" s="434"/>
      <c r="DGN1" s="434"/>
      <c r="DGO1" s="434"/>
      <c r="DGP1" s="434"/>
      <c r="DGQ1" s="434"/>
      <c r="DGR1" s="434"/>
      <c r="DGS1" s="434"/>
      <c r="DGT1" s="434"/>
      <c r="DGU1" s="434"/>
      <c r="DGV1" s="434"/>
      <c r="DGW1" s="434"/>
      <c r="DGX1" s="434"/>
      <c r="DGY1" s="434"/>
      <c r="DGZ1" s="434"/>
      <c r="DHA1" s="434"/>
      <c r="DHB1" s="434"/>
      <c r="DHC1" s="434"/>
      <c r="DHD1" s="434"/>
      <c r="DHE1" s="434"/>
      <c r="DHF1" s="434"/>
      <c r="DHG1" s="434"/>
      <c r="DHH1" s="434"/>
      <c r="DHI1" s="434"/>
      <c r="DHJ1" s="434"/>
      <c r="DHK1" s="434"/>
      <c r="DHL1" s="434"/>
      <c r="DHM1" s="434"/>
      <c r="DHN1" s="434"/>
      <c r="DHO1" s="434"/>
      <c r="DHP1" s="434"/>
      <c r="DHQ1" s="434"/>
      <c r="DHR1" s="434"/>
      <c r="DHS1" s="434"/>
      <c r="DHT1" s="434"/>
      <c r="DHU1" s="434"/>
      <c r="DHV1" s="434"/>
      <c r="DHW1" s="434"/>
      <c r="DHX1" s="434"/>
      <c r="DHY1" s="434"/>
      <c r="DHZ1" s="434"/>
      <c r="DIA1" s="434"/>
      <c r="DIB1" s="434"/>
      <c r="DIC1" s="434"/>
      <c r="DID1" s="434"/>
      <c r="DIE1" s="434"/>
      <c r="DIF1" s="434"/>
      <c r="DIG1" s="434"/>
      <c r="DIH1" s="434"/>
      <c r="DII1" s="434"/>
      <c r="DIJ1" s="434"/>
      <c r="DIK1" s="434"/>
      <c r="DIL1" s="434"/>
      <c r="DIM1" s="434"/>
      <c r="DIN1" s="434"/>
      <c r="DIO1" s="434"/>
      <c r="DIP1" s="434"/>
      <c r="DIQ1" s="434"/>
      <c r="DIR1" s="434"/>
      <c r="DIS1" s="434"/>
      <c r="DIT1" s="434"/>
      <c r="DIU1" s="434"/>
      <c r="DIV1" s="434"/>
      <c r="DIW1" s="434"/>
      <c r="DIX1" s="434"/>
      <c r="DIY1" s="434"/>
      <c r="DIZ1" s="434"/>
      <c r="DJA1" s="434"/>
      <c r="DJB1" s="434"/>
      <c r="DJC1" s="434"/>
      <c r="DJD1" s="434"/>
      <c r="DJE1" s="434"/>
      <c r="DJF1" s="434"/>
      <c r="DJG1" s="434"/>
      <c r="DJH1" s="434"/>
      <c r="DJI1" s="434"/>
      <c r="DJJ1" s="434"/>
      <c r="DJK1" s="434"/>
      <c r="DJL1" s="434"/>
      <c r="DJM1" s="434"/>
      <c r="DJN1" s="434"/>
      <c r="DJO1" s="434"/>
      <c r="DJP1" s="434"/>
      <c r="DJQ1" s="434"/>
      <c r="DJR1" s="434"/>
      <c r="DJS1" s="434"/>
      <c r="DJT1" s="434"/>
      <c r="DJU1" s="434"/>
      <c r="DJV1" s="434"/>
      <c r="DJW1" s="434"/>
      <c r="DJX1" s="434"/>
      <c r="DJY1" s="434"/>
      <c r="DJZ1" s="434"/>
      <c r="DKA1" s="434"/>
      <c r="DKB1" s="434"/>
      <c r="DKC1" s="434"/>
      <c r="DKD1" s="434"/>
      <c r="DKE1" s="434"/>
      <c r="DKF1" s="434"/>
      <c r="DKG1" s="434"/>
      <c r="DKH1" s="434"/>
      <c r="DKI1" s="434"/>
      <c r="DKJ1" s="434"/>
      <c r="DKK1" s="434"/>
      <c r="DKL1" s="434"/>
      <c r="DKM1" s="434"/>
      <c r="DKN1" s="434"/>
      <c r="DKO1" s="434"/>
      <c r="DKP1" s="434"/>
      <c r="DKQ1" s="434"/>
      <c r="DKR1" s="434"/>
      <c r="DKS1" s="434"/>
      <c r="DKT1" s="434"/>
      <c r="DKU1" s="434"/>
      <c r="DKV1" s="434"/>
      <c r="DKW1" s="434"/>
      <c r="DKX1" s="434"/>
      <c r="DKY1" s="434"/>
      <c r="DKZ1" s="434"/>
      <c r="DLA1" s="434"/>
      <c r="DLB1" s="434"/>
      <c r="DLC1" s="434"/>
      <c r="DLD1" s="434"/>
      <c r="DLE1" s="434"/>
      <c r="DLF1" s="434"/>
      <c r="DLG1" s="434"/>
      <c r="DLH1" s="434"/>
      <c r="DLI1" s="434"/>
      <c r="DLJ1" s="434"/>
      <c r="DLK1" s="434"/>
      <c r="DLL1" s="434"/>
      <c r="DLM1" s="434"/>
      <c r="DLN1" s="434"/>
      <c r="DLO1" s="434"/>
      <c r="DLP1" s="434"/>
      <c r="DLQ1" s="434"/>
      <c r="DLR1" s="434"/>
      <c r="DLS1" s="434"/>
      <c r="DLT1" s="434"/>
      <c r="DLU1" s="434"/>
      <c r="DLV1" s="434"/>
      <c r="DLW1" s="434"/>
      <c r="DLX1" s="434"/>
      <c r="DLY1" s="434"/>
      <c r="DLZ1" s="434"/>
      <c r="DMA1" s="434"/>
      <c r="DMB1" s="434"/>
      <c r="DMC1" s="434"/>
      <c r="DMD1" s="434"/>
      <c r="DME1" s="434"/>
      <c r="DMF1" s="434"/>
      <c r="DMG1" s="434"/>
      <c r="DMH1" s="434"/>
      <c r="DMI1" s="434"/>
      <c r="DMJ1" s="434"/>
      <c r="DMK1" s="434"/>
      <c r="DML1" s="434"/>
      <c r="DMM1" s="434"/>
      <c r="DMN1" s="434"/>
      <c r="DMO1" s="434"/>
      <c r="DMP1" s="434"/>
      <c r="DMQ1" s="434"/>
      <c r="DMR1" s="434"/>
      <c r="DMS1" s="434"/>
      <c r="DMT1" s="434"/>
      <c r="DMU1" s="434"/>
      <c r="DMV1" s="434"/>
      <c r="DMW1" s="434"/>
      <c r="DMX1" s="434"/>
      <c r="DMY1" s="434"/>
      <c r="DMZ1" s="434"/>
      <c r="DNA1" s="434"/>
      <c r="DNB1" s="434"/>
      <c r="DNC1" s="434"/>
      <c r="DND1" s="434"/>
      <c r="DNE1" s="434"/>
      <c r="DNF1" s="434"/>
      <c r="DNG1" s="434"/>
      <c r="DNH1" s="434"/>
      <c r="DNI1" s="434"/>
      <c r="DNJ1" s="434"/>
      <c r="DNK1" s="434"/>
      <c r="DNL1" s="434"/>
      <c r="DNM1" s="434"/>
      <c r="DNN1" s="434"/>
      <c r="DNO1" s="434"/>
      <c r="DNP1" s="434"/>
      <c r="DNQ1" s="434"/>
      <c r="DNR1" s="434"/>
      <c r="DNS1" s="434"/>
      <c r="DNT1" s="434"/>
      <c r="DNU1" s="434"/>
      <c r="DNV1" s="434"/>
      <c r="DNW1" s="434"/>
      <c r="DNX1" s="434"/>
      <c r="DNY1" s="434"/>
      <c r="DNZ1" s="434"/>
      <c r="DOA1" s="434"/>
      <c r="DOB1" s="434"/>
      <c r="DOC1" s="434"/>
      <c r="DOD1" s="434"/>
      <c r="DOE1" s="434"/>
      <c r="DOF1" s="434"/>
      <c r="DOG1" s="434"/>
      <c r="DOH1" s="434"/>
      <c r="DOI1" s="434"/>
      <c r="DOJ1" s="434"/>
      <c r="DOK1" s="434"/>
      <c r="DOL1" s="434"/>
      <c r="DOM1" s="434"/>
      <c r="DON1" s="434"/>
      <c r="DOO1" s="434"/>
      <c r="DOP1" s="434"/>
      <c r="DOQ1" s="434"/>
      <c r="DOR1" s="434"/>
      <c r="DOS1" s="434"/>
      <c r="DOT1" s="434"/>
      <c r="DOU1" s="434"/>
      <c r="DOV1" s="434"/>
      <c r="DOW1" s="434"/>
      <c r="DOX1" s="434"/>
      <c r="DOY1" s="434"/>
      <c r="DOZ1" s="434"/>
      <c r="DPA1" s="434"/>
      <c r="DPB1" s="434"/>
      <c r="DPC1" s="434"/>
      <c r="DPD1" s="434"/>
      <c r="DPE1" s="434"/>
      <c r="DPF1" s="434"/>
      <c r="DPG1" s="434"/>
      <c r="DPH1" s="434"/>
      <c r="DPI1" s="434"/>
      <c r="DPJ1" s="434"/>
      <c r="DPK1" s="434"/>
      <c r="DPL1" s="434"/>
      <c r="DPM1" s="434"/>
      <c r="DPN1" s="434"/>
      <c r="DPO1" s="434"/>
      <c r="DPP1" s="434"/>
      <c r="DPQ1" s="434"/>
      <c r="DPR1" s="434"/>
      <c r="DPS1" s="434"/>
      <c r="DPT1" s="434"/>
      <c r="DPU1" s="434"/>
      <c r="DPV1" s="434"/>
      <c r="DPW1" s="434"/>
      <c r="DPX1" s="434"/>
      <c r="DPY1" s="434"/>
      <c r="DPZ1" s="434"/>
      <c r="DQA1" s="434"/>
      <c r="DQB1" s="434"/>
      <c r="DQC1" s="434"/>
      <c r="DQD1" s="434"/>
      <c r="DQE1" s="434"/>
      <c r="DQF1" s="434"/>
      <c r="DQG1" s="434"/>
      <c r="DQH1" s="434"/>
      <c r="DQI1" s="434"/>
      <c r="DQJ1" s="434"/>
      <c r="DQK1" s="434"/>
      <c r="DQL1" s="434"/>
      <c r="DQM1" s="434"/>
      <c r="DQN1" s="434"/>
      <c r="DQO1" s="434"/>
      <c r="DQP1" s="434"/>
      <c r="DQQ1" s="434"/>
      <c r="DQR1" s="434"/>
      <c r="DQS1" s="434"/>
      <c r="DQT1" s="434"/>
      <c r="DQU1" s="434"/>
      <c r="DQV1" s="434"/>
      <c r="DQW1" s="434"/>
      <c r="DQX1" s="434"/>
      <c r="DQY1" s="434"/>
      <c r="DQZ1" s="434"/>
      <c r="DRA1" s="434"/>
      <c r="DRB1" s="434"/>
      <c r="DRC1" s="434"/>
      <c r="DRD1" s="434"/>
      <c r="DRE1" s="434"/>
      <c r="DRF1" s="434"/>
      <c r="DRG1" s="434"/>
      <c r="DRH1" s="434"/>
      <c r="DRI1" s="434"/>
      <c r="DRJ1" s="434"/>
      <c r="DRK1" s="434"/>
      <c r="DRL1" s="434"/>
      <c r="DRM1" s="434"/>
      <c r="DRN1" s="434"/>
      <c r="DRO1" s="434"/>
      <c r="DRP1" s="434"/>
      <c r="DRQ1" s="434"/>
      <c r="DRR1" s="434"/>
      <c r="DRS1" s="434"/>
      <c r="DRT1" s="434"/>
      <c r="DRU1" s="434"/>
      <c r="DRV1" s="434"/>
      <c r="DRW1" s="434"/>
      <c r="DRX1" s="434"/>
      <c r="DRY1" s="434"/>
      <c r="DRZ1" s="434"/>
      <c r="DSA1" s="434"/>
      <c r="DSB1" s="434"/>
      <c r="DSC1" s="434"/>
      <c r="DSD1" s="434"/>
      <c r="DSE1" s="434"/>
      <c r="DSF1" s="434"/>
      <c r="DSG1" s="434"/>
      <c r="DSH1" s="434"/>
      <c r="DSI1" s="434"/>
      <c r="DSJ1" s="434"/>
      <c r="DSK1" s="434"/>
      <c r="DSL1" s="434"/>
      <c r="DSM1" s="434"/>
      <c r="DSN1" s="434"/>
      <c r="DSO1" s="434"/>
      <c r="DSP1" s="434"/>
      <c r="DSQ1" s="434"/>
      <c r="DSR1" s="434"/>
      <c r="DSS1" s="434"/>
      <c r="DST1" s="434"/>
      <c r="DSU1" s="434"/>
      <c r="DSV1" s="434"/>
      <c r="DSW1" s="434"/>
      <c r="DSX1" s="434"/>
      <c r="DSY1" s="434"/>
      <c r="DSZ1" s="434"/>
      <c r="DTA1" s="434"/>
      <c r="DTB1" s="434"/>
      <c r="DTC1" s="434"/>
      <c r="DTD1" s="434"/>
      <c r="DTE1" s="434"/>
      <c r="DTF1" s="434"/>
      <c r="DTG1" s="434"/>
      <c r="DTH1" s="434"/>
      <c r="DTI1" s="434"/>
      <c r="DTJ1" s="434"/>
      <c r="DTK1" s="434"/>
      <c r="DTL1" s="434"/>
      <c r="DTM1" s="434"/>
      <c r="DTN1" s="434"/>
      <c r="DTO1" s="434"/>
      <c r="DTP1" s="434"/>
      <c r="DTQ1" s="434"/>
      <c r="DTR1" s="434"/>
      <c r="DTS1" s="434"/>
      <c r="DTT1" s="434"/>
      <c r="DTU1" s="434"/>
      <c r="DTV1" s="434"/>
      <c r="DTW1" s="434"/>
      <c r="DTX1" s="434"/>
      <c r="DTY1" s="434"/>
      <c r="DTZ1" s="434"/>
      <c r="DUA1" s="434"/>
      <c r="DUB1" s="434"/>
      <c r="DUC1" s="434"/>
      <c r="DUD1" s="434"/>
      <c r="DUE1" s="434"/>
      <c r="DUF1" s="434"/>
      <c r="DUG1" s="434"/>
      <c r="DUH1" s="434"/>
      <c r="DUI1" s="434"/>
      <c r="DUJ1" s="434"/>
      <c r="DUK1" s="434"/>
      <c r="DUL1" s="434"/>
      <c r="DUM1" s="434"/>
      <c r="DUN1" s="434"/>
      <c r="DUO1" s="434"/>
      <c r="DUP1" s="434"/>
      <c r="DUQ1" s="434"/>
      <c r="DUR1" s="434"/>
      <c r="DUS1" s="434"/>
      <c r="DUT1" s="434"/>
      <c r="DUU1" s="434"/>
      <c r="DUV1" s="434"/>
      <c r="DUW1" s="434"/>
      <c r="DUX1" s="434"/>
      <c r="DUY1" s="434"/>
      <c r="DUZ1" s="434"/>
      <c r="DVA1" s="434"/>
      <c r="DVB1" s="434"/>
      <c r="DVC1" s="434"/>
      <c r="DVD1" s="434"/>
      <c r="DVE1" s="434"/>
      <c r="DVF1" s="434"/>
      <c r="DVG1" s="434"/>
      <c r="DVH1" s="434"/>
      <c r="DVI1" s="434"/>
      <c r="DVJ1" s="434"/>
      <c r="DVK1" s="434"/>
      <c r="DVL1" s="434"/>
      <c r="DVM1" s="434"/>
      <c r="DVN1" s="434"/>
      <c r="DVO1" s="434"/>
      <c r="DVP1" s="434"/>
      <c r="DVQ1" s="434"/>
      <c r="DVR1" s="434"/>
      <c r="DVS1" s="434"/>
      <c r="DVT1" s="434"/>
      <c r="DVU1" s="434"/>
      <c r="DVV1" s="434"/>
      <c r="DVW1" s="434"/>
      <c r="DVX1" s="434"/>
      <c r="DVY1" s="434"/>
      <c r="DVZ1" s="434"/>
      <c r="DWA1" s="434"/>
      <c r="DWB1" s="434"/>
      <c r="DWC1" s="434"/>
      <c r="DWD1" s="434"/>
      <c r="DWE1" s="434"/>
      <c r="DWF1" s="434"/>
      <c r="DWG1" s="434"/>
      <c r="DWH1" s="434"/>
      <c r="DWI1" s="434"/>
      <c r="DWJ1" s="434"/>
      <c r="DWK1" s="434"/>
      <c r="DWL1" s="434"/>
      <c r="DWM1" s="434"/>
      <c r="DWN1" s="434"/>
      <c r="DWO1" s="434"/>
      <c r="DWP1" s="434"/>
      <c r="DWQ1" s="434"/>
      <c r="DWR1" s="434"/>
      <c r="DWS1" s="434"/>
      <c r="DWT1" s="434"/>
      <c r="DWU1" s="434"/>
      <c r="DWV1" s="434"/>
      <c r="DWW1" s="434"/>
      <c r="DWX1" s="434"/>
      <c r="DWY1" s="434"/>
      <c r="DWZ1" s="434"/>
      <c r="DXA1" s="434"/>
      <c r="DXB1" s="434"/>
      <c r="DXC1" s="434"/>
      <c r="DXD1" s="434"/>
      <c r="DXE1" s="434"/>
      <c r="DXF1" s="434"/>
      <c r="DXG1" s="434"/>
      <c r="DXH1" s="434"/>
      <c r="DXI1" s="434"/>
      <c r="DXJ1" s="434"/>
      <c r="DXK1" s="434"/>
      <c r="DXL1" s="434"/>
      <c r="DXM1" s="434"/>
      <c r="DXN1" s="434"/>
      <c r="DXO1" s="434"/>
      <c r="DXP1" s="434"/>
      <c r="DXQ1" s="434"/>
      <c r="DXR1" s="434"/>
      <c r="DXS1" s="434"/>
      <c r="DXT1" s="434"/>
      <c r="DXU1" s="434"/>
      <c r="DXV1" s="434"/>
      <c r="DXW1" s="434"/>
      <c r="DXX1" s="434"/>
      <c r="DXY1" s="434"/>
      <c r="DXZ1" s="434"/>
      <c r="DYA1" s="434"/>
      <c r="DYB1" s="434"/>
      <c r="DYC1" s="434"/>
      <c r="DYD1" s="434"/>
      <c r="DYE1" s="434"/>
      <c r="DYF1" s="434"/>
      <c r="DYG1" s="434"/>
      <c r="DYH1" s="434"/>
      <c r="DYI1" s="434"/>
      <c r="DYJ1" s="434"/>
      <c r="DYK1" s="434"/>
      <c r="DYL1" s="434"/>
      <c r="DYM1" s="434"/>
      <c r="DYN1" s="434"/>
      <c r="DYO1" s="434"/>
      <c r="DYP1" s="434"/>
      <c r="DYQ1" s="434"/>
      <c r="DYR1" s="434"/>
      <c r="DYS1" s="434"/>
      <c r="DYT1" s="434"/>
      <c r="DYU1" s="434"/>
      <c r="DYV1" s="434"/>
      <c r="DYW1" s="434"/>
      <c r="DYX1" s="434"/>
      <c r="DYY1" s="434"/>
      <c r="DYZ1" s="434"/>
      <c r="DZA1" s="434"/>
      <c r="DZB1" s="434"/>
      <c r="DZC1" s="434"/>
      <c r="DZD1" s="434"/>
      <c r="DZE1" s="434"/>
      <c r="DZF1" s="434"/>
      <c r="DZG1" s="434"/>
      <c r="DZH1" s="434"/>
      <c r="DZI1" s="434"/>
      <c r="DZJ1" s="434"/>
      <c r="DZK1" s="434"/>
      <c r="DZL1" s="434"/>
      <c r="DZM1" s="434"/>
      <c r="DZN1" s="434"/>
      <c r="DZO1" s="434"/>
      <c r="DZP1" s="434"/>
      <c r="DZQ1" s="434"/>
      <c r="DZR1" s="434"/>
      <c r="DZS1" s="434"/>
      <c r="DZT1" s="434"/>
      <c r="DZU1" s="434"/>
      <c r="DZV1" s="434"/>
      <c r="DZW1" s="434"/>
      <c r="DZX1" s="434"/>
      <c r="DZY1" s="434"/>
      <c r="DZZ1" s="434"/>
      <c r="EAA1" s="434"/>
      <c r="EAB1" s="434"/>
      <c r="EAC1" s="434"/>
      <c r="EAD1" s="434"/>
      <c r="EAE1" s="434"/>
      <c r="EAF1" s="434"/>
      <c r="EAG1" s="434"/>
      <c r="EAH1" s="434"/>
      <c r="EAI1" s="434"/>
      <c r="EAJ1" s="434"/>
      <c r="EAK1" s="434"/>
      <c r="EAL1" s="434"/>
      <c r="EAM1" s="434"/>
      <c r="EAN1" s="434"/>
      <c r="EAO1" s="434"/>
      <c r="EAP1" s="434"/>
      <c r="EAQ1" s="434"/>
      <c r="EAR1" s="434"/>
      <c r="EAS1" s="434"/>
      <c r="EAT1" s="434"/>
      <c r="EAU1" s="434"/>
      <c r="EAV1" s="434"/>
      <c r="EAW1" s="434"/>
      <c r="EAX1" s="434"/>
      <c r="EAY1" s="434"/>
      <c r="EAZ1" s="434"/>
      <c r="EBA1" s="434"/>
      <c r="EBB1" s="434"/>
      <c r="EBC1" s="434"/>
      <c r="EBD1" s="434"/>
      <c r="EBE1" s="434"/>
      <c r="EBF1" s="434"/>
      <c r="EBG1" s="434"/>
      <c r="EBH1" s="434"/>
      <c r="EBI1" s="434"/>
      <c r="EBJ1" s="434"/>
      <c r="EBK1" s="434"/>
      <c r="EBL1" s="434"/>
      <c r="EBM1" s="434"/>
      <c r="EBN1" s="434"/>
      <c r="EBO1" s="434"/>
      <c r="EBP1" s="434"/>
      <c r="EBQ1" s="434"/>
      <c r="EBR1" s="434"/>
      <c r="EBS1" s="434"/>
      <c r="EBT1" s="434"/>
      <c r="EBU1" s="434"/>
      <c r="EBV1" s="434"/>
      <c r="EBW1" s="434"/>
      <c r="EBX1" s="434"/>
      <c r="EBY1" s="434"/>
      <c r="EBZ1" s="434"/>
      <c r="ECA1" s="434"/>
      <c r="ECB1" s="434"/>
      <c r="ECC1" s="434"/>
      <c r="ECD1" s="434"/>
      <c r="ECE1" s="434"/>
      <c r="ECF1" s="434"/>
      <c r="ECG1" s="434"/>
      <c r="ECH1" s="434"/>
      <c r="ECI1" s="434"/>
      <c r="ECJ1" s="434"/>
      <c r="ECK1" s="434"/>
      <c r="ECL1" s="434"/>
      <c r="ECM1" s="434"/>
      <c r="ECN1" s="434"/>
      <c r="ECO1" s="434"/>
      <c r="ECP1" s="434"/>
      <c r="ECQ1" s="434"/>
      <c r="ECR1" s="434"/>
      <c r="ECS1" s="434"/>
      <c r="ECT1" s="434"/>
      <c r="ECU1" s="434"/>
      <c r="ECV1" s="434"/>
      <c r="ECW1" s="434"/>
      <c r="ECX1" s="434"/>
      <c r="ECY1" s="434"/>
      <c r="ECZ1" s="434"/>
      <c r="EDA1" s="434"/>
      <c r="EDB1" s="434"/>
      <c r="EDC1" s="434"/>
      <c r="EDD1" s="434"/>
      <c r="EDE1" s="434"/>
      <c r="EDF1" s="434"/>
      <c r="EDG1" s="434"/>
      <c r="EDH1" s="434"/>
      <c r="EDI1" s="434"/>
      <c r="EDJ1" s="434"/>
      <c r="EDK1" s="434"/>
      <c r="EDL1" s="434"/>
      <c r="EDM1" s="434"/>
      <c r="EDN1" s="434"/>
      <c r="EDO1" s="434"/>
      <c r="EDP1" s="434"/>
      <c r="EDQ1" s="434"/>
      <c r="EDR1" s="434"/>
      <c r="EDS1" s="434"/>
      <c r="EDT1" s="434"/>
      <c r="EDU1" s="434"/>
      <c r="EDV1" s="434"/>
      <c r="EDW1" s="434"/>
      <c r="EDX1" s="434"/>
      <c r="EDY1" s="434"/>
      <c r="EDZ1" s="434"/>
      <c r="EEA1" s="434"/>
      <c r="EEB1" s="434"/>
      <c r="EEC1" s="434"/>
      <c r="EED1" s="434"/>
      <c r="EEE1" s="434"/>
      <c r="EEF1" s="434"/>
      <c r="EEG1" s="434"/>
      <c r="EEH1" s="434"/>
      <c r="EEI1" s="434"/>
      <c r="EEJ1" s="434"/>
      <c r="EEK1" s="434"/>
      <c r="EEL1" s="434"/>
      <c r="EEM1" s="434"/>
      <c r="EEN1" s="434"/>
      <c r="EEO1" s="434"/>
      <c r="EEP1" s="434"/>
      <c r="EEQ1" s="434"/>
      <c r="EER1" s="434"/>
      <c r="EES1" s="434"/>
      <c r="EET1" s="434"/>
      <c r="EEU1" s="434"/>
      <c r="EEV1" s="434"/>
      <c r="EEW1" s="434"/>
      <c r="EEX1" s="434"/>
      <c r="EEY1" s="434"/>
      <c r="EEZ1" s="434"/>
      <c r="EFA1" s="434"/>
      <c r="EFB1" s="434"/>
      <c r="EFC1" s="434"/>
      <c r="EFD1" s="434"/>
      <c r="EFE1" s="434"/>
      <c r="EFF1" s="434"/>
      <c r="EFG1" s="434"/>
      <c r="EFH1" s="434"/>
      <c r="EFI1" s="434"/>
      <c r="EFJ1" s="434"/>
      <c r="EFK1" s="434"/>
      <c r="EFL1" s="434"/>
      <c r="EFM1" s="434"/>
      <c r="EFN1" s="434"/>
      <c r="EFO1" s="434"/>
      <c r="EFP1" s="434"/>
      <c r="EFQ1" s="434"/>
      <c r="EFR1" s="434"/>
      <c r="EFS1" s="434"/>
      <c r="EFT1" s="434"/>
      <c r="EFU1" s="434"/>
      <c r="EFV1" s="434"/>
      <c r="EFW1" s="434"/>
      <c r="EFX1" s="434"/>
      <c r="EFY1" s="434"/>
      <c r="EFZ1" s="434"/>
      <c r="EGA1" s="434"/>
      <c r="EGB1" s="434"/>
      <c r="EGC1" s="434"/>
      <c r="EGD1" s="434"/>
      <c r="EGE1" s="434"/>
      <c r="EGF1" s="434"/>
      <c r="EGG1" s="434"/>
      <c r="EGH1" s="434"/>
      <c r="EGI1" s="434"/>
      <c r="EGJ1" s="434"/>
      <c r="EGK1" s="434"/>
      <c r="EGL1" s="434"/>
      <c r="EGM1" s="434"/>
      <c r="EGN1" s="434"/>
      <c r="EGO1" s="434"/>
      <c r="EGP1" s="434"/>
      <c r="EGQ1" s="434"/>
      <c r="EGR1" s="434"/>
      <c r="EGS1" s="434"/>
      <c r="EGT1" s="434"/>
      <c r="EGU1" s="434"/>
      <c r="EGV1" s="434"/>
      <c r="EGW1" s="434"/>
      <c r="EGX1" s="434"/>
      <c r="EGY1" s="434"/>
      <c r="EGZ1" s="434"/>
      <c r="EHA1" s="434"/>
      <c r="EHB1" s="434"/>
      <c r="EHC1" s="434"/>
      <c r="EHD1" s="434"/>
      <c r="EHE1" s="434"/>
      <c r="EHF1" s="434"/>
      <c r="EHG1" s="434"/>
      <c r="EHH1" s="434"/>
      <c r="EHI1" s="434"/>
      <c r="EHJ1" s="434"/>
      <c r="EHK1" s="434"/>
      <c r="EHL1" s="434"/>
      <c r="EHM1" s="434"/>
      <c r="EHN1" s="434"/>
      <c r="EHO1" s="434"/>
      <c r="EHP1" s="434"/>
      <c r="EHQ1" s="434"/>
      <c r="EHR1" s="434"/>
      <c r="EHS1" s="434"/>
      <c r="EHT1" s="434"/>
      <c r="EHU1" s="434"/>
      <c r="EHV1" s="434"/>
      <c r="EHW1" s="434"/>
      <c r="EHX1" s="434"/>
      <c r="EHY1" s="434"/>
      <c r="EHZ1" s="434"/>
      <c r="EIA1" s="434"/>
      <c r="EIB1" s="434"/>
      <c r="EIC1" s="434"/>
      <c r="EID1" s="434"/>
      <c r="EIE1" s="434"/>
      <c r="EIF1" s="434"/>
      <c r="EIG1" s="434"/>
      <c r="EIH1" s="434"/>
      <c r="EII1" s="434"/>
      <c r="EIJ1" s="434"/>
      <c r="EIK1" s="434"/>
      <c r="EIL1" s="434"/>
      <c r="EIM1" s="434"/>
      <c r="EIN1" s="434"/>
      <c r="EIO1" s="434"/>
      <c r="EIP1" s="434"/>
      <c r="EIQ1" s="434"/>
      <c r="EIR1" s="434"/>
      <c r="EIS1" s="434"/>
      <c r="EIT1" s="434"/>
      <c r="EIU1" s="434"/>
      <c r="EIV1" s="434"/>
      <c r="EIW1" s="434"/>
      <c r="EIX1" s="434"/>
      <c r="EIY1" s="434"/>
      <c r="EIZ1" s="434"/>
      <c r="EJA1" s="434"/>
      <c r="EJB1" s="434"/>
      <c r="EJC1" s="434"/>
      <c r="EJD1" s="434"/>
      <c r="EJE1" s="434"/>
      <c r="EJF1" s="434"/>
      <c r="EJG1" s="434"/>
      <c r="EJH1" s="434"/>
      <c r="EJI1" s="434"/>
      <c r="EJJ1" s="434"/>
      <c r="EJK1" s="434"/>
      <c r="EJL1" s="434"/>
      <c r="EJM1" s="434"/>
      <c r="EJN1" s="434"/>
      <c r="EJO1" s="434"/>
      <c r="EJP1" s="434"/>
      <c r="EJQ1" s="434"/>
      <c r="EJR1" s="434"/>
      <c r="EJS1" s="434"/>
      <c r="EJT1" s="434"/>
      <c r="EJU1" s="434"/>
      <c r="EJV1" s="434"/>
      <c r="EJW1" s="434"/>
      <c r="EJX1" s="434"/>
      <c r="EJY1" s="434"/>
      <c r="EJZ1" s="434"/>
      <c r="EKA1" s="434"/>
      <c r="EKB1" s="434"/>
      <c r="EKC1" s="434"/>
      <c r="EKD1" s="434"/>
      <c r="EKE1" s="434"/>
      <c r="EKF1" s="434"/>
      <c r="EKG1" s="434"/>
      <c r="EKH1" s="434"/>
      <c r="EKI1" s="434"/>
      <c r="EKJ1" s="434"/>
      <c r="EKK1" s="434"/>
      <c r="EKL1" s="434"/>
      <c r="EKM1" s="434"/>
      <c r="EKN1" s="434"/>
      <c r="EKO1" s="434"/>
      <c r="EKP1" s="434"/>
      <c r="EKQ1" s="434"/>
      <c r="EKR1" s="434"/>
      <c r="EKS1" s="434"/>
      <c r="EKT1" s="434"/>
      <c r="EKU1" s="434"/>
      <c r="EKV1" s="434"/>
      <c r="EKW1" s="434"/>
      <c r="EKX1" s="434"/>
      <c r="EKY1" s="434"/>
      <c r="EKZ1" s="434"/>
      <c r="ELA1" s="434"/>
      <c r="ELB1" s="434"/>
      <c r="ELC1" s="434"/>
      <c r="ELD1" s="434"/>
      <c r="ELE1" s="434"/>
      <c r="ELF1" s="434"/>
      <c r="ELG1" s="434"/>
      <c r="ELH1" s="434"/>
      <c r="ELI1" s="434"/>
      <c r="ELJ1" s="434"/>
      <c r="ELK1" s="434"/>
      <c r="ELL1" s="434"/>
      <c r="ELM1" s="434"/>
      <c r="ELN1" s="434"/>
      <c r="ELO1" s="434"/>
      <c r="ELP1" s="434"/>
      <c r="ELQ1" s="434"/>
      <c r="ELR1" s="434"/>
      <c r="ELS1" s="434"/>
      <c r="ELT1" s="434"/>
      <c r="ELU1" s="434"/>
      <c r="ELV1" s="434"/>
      <c r="ELW1" s="434"/>
      <c r="ELX1" s="434"/>
      <c r="ELY1" s="434"/>
      <c r="ELZ1" s="434"/>
      <c r="EMA1" s="434"/>
      <c r="EMB1" s="434"/>
      <c r="EMC1" s="434"/>
      <c r="EMD1" s="434"/>
      <c r="EME1" s="434"/>
      <c r="EMF1" s="434"/>
      <c r="EMG1" s="434"/>
      <c r="EMH1" s="434"/>
      <c r="EMI1" s="434"/>
      <c r="EMJ1" s="434"/>
      <c r="EMK1" s="434"/>
      <c r="EML1" s="434"/>
      <c r="EMM1" s="434"/>
      <c r="EMN1" s="434"/>
      <c r="EMO1" s="434"/>
      <c r="EMP1" s="434"/>
      <c r="EMQ1" s="434"/>
      <c r="EMR1" s="434"/>
      <c r="EMS1" s="434"/>
      <c r="EMT1" s="434"/>
      <c r="EMU1" s="434"/>
      <c r="EMV1" s="434"/>
      <c r="EMW1" s="434"/>
      <c r="EMX1" s="434"/>
      <c r="EMY1" s="434"/>
      <c r="EMZ1" s="434"/>
      <c r="ENA1" s="434"/>
      <c r="ENB1" s="434"/>
      <c r="ENC1" s="434"/>
      <c r="END1" s="434"/>
      <c r="ENE1" s="434"/>
      <c r="ENF1" s="434"/>
      <c r="ENG1" s="434"/>
      <c r="ENH1" s="434"/>
      <c r="ENI1" s="434"/>
      <c r="ENJ1" s="434"/>
      <c r="ENK1" s="434"/>
      <c r="ENL1" s="434"/>
      <c r="ENM1" s="434"/>
      <c r="ENN1" s="434"/>
      <c r="ENO1" s="434"/>
      <c r="ENP1" s="434"/>
      <c r="ENQ1" s="434"/>
      <c r="ENR1" s="434"/>
      <c r="ENS1" s="434"/>
      <c r="ENT1" s="434"/>
      <c r="ENU1" s="434"/>
      <c r="ENV1" s="434"/>
      <c r="ENW1" s="434"/>
      <c r="ENX1" s="434"/>
      <c r="ENY1" s="434"/>
      <c r="ENZ1" s="434"/>
      <c r="EOA1" s="434"/>
      <c r="EOB1" s="434"/>
      <c r="EOC1" s="434"/>
      <c r="EOD1" s="434"/>
      <c r="EOE1" s="434"/>
      <c r="EOF1" s="434"/>
      <c r="EOG1" s="434"/>
      <c r="EOH1" s="434"/>
      <c r="EOI1" s="434"/>
      <c r="EOJ1" s="434"/>
      <c r="EOK1" s="434"/>
      <c r="EOL1" s="434"/>
      <c r="EOM1" s="434"/>
      <c r="EON1" s="434"/>
      <c r="EOO1" s="434"/>
      <c r="EOP1" s="434"/>
      <c r="EOQ1" s="434"/>
      <c r="EOR1" s="434"/>
      <c r="EOS1" s="434"/>
      <c r="EOT1" s="434"/>
      <c r="EOU1" s="434"/>
      <c r="EOV1" s="434"/>
      <c r="EOW1" s="434"/>
      <c r="EOX1" s="434"/>
      <c r="EOY1" s="434"/>
      <c r="EOZ1" s="434"/>
      <c r="EPA1" s="434"/>
      <c r="EPB1" s="434"/>
      <c r="EPC1" s="434"/>
      <c r="EPD1" s="434"/>
      <c r="EPE1" s="434"/>
      <c r="EPF1" s="434"/>
      <c r="EPG1" s="434"/>
      <c r="EPH1" s="434"/>
      <c r="EPI1" s="434"/>
      <c r="EPJ1" s="434"/>
      <c r="EPK1" s="434"/>
      <c r="EPL1" s="434"/>
      <c r="EPM1" s="434"/>
      <c r="EPN1" s="434"/>
      <c r="EPO1" s="434"/>
      <c r="EPP1" s="434"/>
      <c r="EPQ1" s="434"/>
      <c r="EPR1" s="434"/>
      <c r="EPS1" s="434"/>
      <c r="EPT1" s="434"/>
      <c r="EPU1" s="434"/>
      <c r="EPV1" s="434"/>
      <c r="EPW1" s="434"/>
      <c r="EPX1" s="434"/>
      <c r="EPY1" s="434"/>
      <c r="EPZ1" s="434"/>
      <c r="EQA1" s="434"/>
      <c r="EQB1" s="434"/>
      <c r="EQC1" s="434"/>
      <c r="EQD1" s="434"/>
      <c r="EQE1" s="434"/>
      <c r="EQF1" s="434"/>
      <c r="EQG1" s="434"/>
      <c r="EQH1" s="434"/>
      <c r="EQI1" s="434"/>
      <c r="EQJ1" s="434"/>
      <c r="EQK1" s="434"/>
      <c r="EQL1" s="434"/>
      <c r="EQM1" s="434"/>
      <c r="EQN1" s="434"/>
      <c r="EQO1" s="434"/>
      <c r="EQP1" s="434"/>
      <c r="EQQ1" s="434"/>
      <c r="EQR1" s="434"/>
      <c r="EQS1" s="434"/>
      <c r="EQT1" s="434"/>
      <c r="EQU1" s="434"/>
      <c r="EQV1" s="434"/>
      <c r="EQW1" s="434"/>
      <c r="EQX1" s="434"/>
      <c r="EQY1" s="434"/>
      <c r="EQZ1" s="434"/>
      <c r="ERA1" s="434"/>
      <c r="ERB1" s="434"/>
      <c r="ERC1" s="434"/>
      <c r="ERD1" s="434"/>
      <c r="ERE1" s="434"/>
      <c r="ERF1" s="434"/>
      <c r="ERG1" s="434"/>
      <c r="ERH1" s="434"/>
      <c r="ERI1" s="434"/>
      <c r="ERJ1" s="434"/>
      <c r="ERK1" s="434"/>
      <c r="ERL1" s="434"/>
      <c r="ERM1" s="434"/>
      <c r="ERN1" s="434"/>
      <c r="ERO1" s="434"/>
      <c r="ERP1" s="434"/>
      <c r="ERQ1" s="434"/>
      <c r="ERR1" s="434"/>
      <c r="ERS1" s="434"/>
      <c r="ERT1" s="434"/>
      <c r="ERU1" s="434"/>
      <c r="ERV1" s="434"/>
      <c r="ERW1" s="434"/>
      <c r="ERX1" s="434"/>
      <c r="ERY1" s="434"/>
      <c r="ERZ1" s="434"/>
      <c r="ESA1" s="434"/>
      <c r="ESB1" s="434"/>
      <c r="ESC1" s="434"/>
      <c r="ESD1" s="434"/>
      <c r="ESE1" s="434"/>
      <c r="ESF1" s="434"/>
      <c r="ESG1" s="434"/>
      <c r="ESH1" s="434"/>
      <c r="ESI1" s="434"/>
      <c r="ESJ1" s="434"/>
      <c r="ESK1" s="434"/>
      <c r="ESL1" s="434"/>
      <c r="ESM1" s="434"/>
      <c r="ESN1" s="434"/>
      <c r="ESO1" s="434"/>
      <c r="ESP1" s="434"/>
      <c r="ESQ1" s="434"/>
      <c r="ESR1" s="434"/>
      <c r="ESS1" s="434"/>
      <c r="EST1" s="434"/>
      <c r="ESU1" s="434"/>
      <c r="ESV1" s="434"/>
      <c r="ESW1" s="434"/>
      <c r="ESX1" s="434"/>
      <c r="ESY1" s="434"/>
      <c r="ESZ1" s="434"/>
      <c r="ETA1" s="434"/>
      <c r="ETB1" s="434"/>
      <c r="ETC1" s="434"/>
      <c r="ETD1" s="434"/>
      <c r="ETE1" s="434"/>
      <c r="ETF1" s="434"/>
      <c r="ETG1" s="434"/>
      <c r="ETH1" s="434"/>
      <c r="ETI1" s="434"/>
      <c r="ETJ1" s="434"/>
      <c r="ETK1" s="434"/>
      <c r="ETL1" s="434"/>
      <c r="ETM1" s="434"/>
      <c r="ETN1" s="434"/>
      <c r="ETO1" s="434"/>
      <c r="ETP1" s="434"/>
      <c r="ETQ1" s="434"/>
      <c r="ETR1" s="434"/>
      <c r="ETS1" s="434"/>
      <c r="ETT1" s="434"/>
      <c r="ETU1" s="434"/>
      <c r="ETV1" s="434"/>
      <c r="ETW1" s="434"/>
      <c r="ETX1" s="434"/>
      <c r="ETY1" s="434"/>
      <c r="ETZ1" s="434"/>
      <c r="EUA1" s="434"/>
      <c r="EUB1" s="434"/>
      <c r="EUC1" s="434"/>
      <c r="EUD1" s="434"/>
      <c r="EUE1" s="434"/>
      <c r="EUF1" s="434"/>
      <c r="EUG1" s="434"/>
      <c r="EUH1" s="434"/>
      <c r="EUI1" s="434"/>
      <c r="EUJ1" s="434"/>
      <c r="EUK1" s="434"/>
      <c r="EUL1" s="434"/>
      <c r="EUM1" s="434"/>
      <c r="EUN1" s="434"/>
      <c r="EUO1" s="434"/>
      <c r="EUP1" s="434"/>
      <c r="EUQ1" s="434"/>
      <c r="EUR1" s="434"/>
      <c r="EUS1" s="434"/>
      <c r="EUT1" s="434"/>
      <c r="EUU1" s="434"/>
      <c r="EUV1" s="434"/>
      <c r="EUW1" s="434"/>
      <c r="EUX1" s="434"/>
      <c r="EUY1" s="434"/>
      <c r="EUZ1" s="434"/>
      <c r="EVA1" s="434"/>
      <c r="EVB1" s="434"/>
      <c r="EVC1" s="434"/>
      <c r="EVD1" s="434"/>
      <c r="EVE1" s="434"/>
      <c r="EVF1" s="434"/>
      <c r="EVG1" s="434"/>
      <c r="EVH1" s="434"/>
      <c r="EVI1" s="434"/>
      <c r="EVJ1" s="434"/>
      <c r="EVK1" s="434"/>
      <c r="EVL1" s="434"/>
      <c r="EVM1" s="434"/>
      <c r="EVN1" s="434"/>
      <c r="EVO1" s="434"/>
      <c r="EVP1" s="434"/>
      <c r="EVQ1" s="434"/>
      <c r="EVR1" s="434"/>
      <c r="EVS1" s="434"/>
      <c r="EVT1" s="434"/>
      <c r="EVU1" s="434"/>
      <c r="EVV1" s="434"/>
      <c r="EVW1" s="434"/>
      <c r="EVX1" s="434"/>
      <c r="EVY1" s="434"/>
      <c r="EVZ1" s="434"/>
      <c r="EWA1" s="434"/>
      <c r="EWB1" s="434"/>
      <c r="EWC1" s="434"/>
      <c r="EWD1" s="434"/>
      <c r="EWE1" s="434"/>
      <c r="EWF1" s="434"/>
      <c r="EWG1" s="434"/>
      <c r="EWH1" s="434"/>
      <c r="EWI1" s="434"/>
      <c r="EWJ1" s="434"/>
      <c r="EWK1" s="434"/>
      <c r="EWL1" s="434"/>
      <c r="EWM1" s="434"/>
      <c r="EWN1" s="434"/>
      <c r="EWO1" s="434"/>
      <c r="EWP1" s="434"/>
      <c r="EWQ1" s="434"/>
      <c r="EWR1" s="434"/>
      <c r="EWS1" s="434"/>
      <c r="EWT1" s="434"/>
      <c r="EWU1" s="434"/>
      <c r="EWV1" s="434"/>
      <c r="EWW1" s="434"/>
      <c r="EWX1" s="434"/>
      <c r="EWY1" s="434"/>
      <c r="EWZ1" s="434"/>
      <c r="EXA1" s="434"/>
      <c r="EXB1" s="434"/>
      <c r="EXC1" s="434"/>
      <c r="EXD1" s="434"/>
      <c r="EXE1" s="434"/>
      <c r="EXF1" s="434"/>
      <c r="EXG1" s="434"/>
      <c r="EXH1" s="434"/>
      <c r="EXI1" s="434"/>
      <c r="EXJ1" s="434"/>
      <c r="EXK1" s="434"/>
      <c r="EXL1" s="434"/>
      <c r="EXM1" s="434"/>
      <c r="EXN1" s="434"/>
      <c r="EXO1" s="434"/>
      <c r="EXP1" s="434"/>
      <c r="EXQ1" s="434"/>
      <c r="EXR1" s="434"/>
      <c r="EXS1" s="434"/>
      <c r="EXT1" s="434"/>
      <c r="EXU1" s="434"/>
      <c r="EXV1" s="434"/>
      <c r="EXW1" s="434"/>
      <c r="EXX1" s="434"/>
      <c r="EXY1" s="434"/>
      <c r="EXZ1" s="434"/>
      <c r="EYA1" s="434"/>
      <c r="EYB1" s="434"/>
      <c r="EYC1" s="434"/>
      <c r="EYD1" s="434"/>
      <c r="EYE1" s="434"/>
      <c r="EYF1" s="434"/>
      <c r="EYG1" s="434"/>
      <c r="EYH1" s="434"/>
      <c r="EYI1" s="434"/>
      <c r="EYJ1" s="434"/>
      <c r="EYK1" s="434"/>
      <c r="EYL1" s="434"/>
      <c r="EYM1" s="434"/>
      <c r="EYN1" s="434"/>
      <c r="EYO1" s="434"/>
      <c r="EYP1" s="434"/>
      <c r="EYQ1" s="434"/>
      <c r="EYR1" s="434"/>
      <c r="EYS1" s="434"/>
      <c r="EYT1" s="434"/>
      <c r="EYU1" s="434"/>
      <c r="EYV1" s="434"/>
      <c r="EYW1" s="434"/>
      <c r="EYX1" s="434"/>
      <c r="EYY1" s="434"/>
      <c r="EYZ1" s="434"/>
      <c r="EZA1" s="434"/>
      <c r="EZB1" s="434"/>
      <c r="EZC1" s="434"/>
      <c r="EZD1" s="434"/>
      <c r="EZE1" s="434"/>
      <c r="EZF1" s="434"/>
      <c r="EZG1" s="434"/>
      <c r="EZH1" s="434"/>
      <c r="EZI1" s="434"/>
      <c r="EZJ1" s="434"/>
      <c r="EZK1" s="434"/>
      <c r="EZL1" s="434"/>
      <c r="EZM1" s="434"/>
      <c r="EZN1" s="434"/>
      <c r="EZO1" s="434"/>
      <c r="EZP1" s="434"/>
      <c r="EZQ1" s="434"/>
      <c r="EZR1" s="434"/>
      <c r="EZS1" s="434"/>
      <c r="EZT1" s="434"/>
      <c r="EZU1" s="434"/>
      <c r="EZV1" s="434"/>
      <c r="EZW1" s="434"/>
      <c r="EZX1" s="434"/>
      <c r="EZY1" s="434"/>
      <c r="EZZ1" s="434"/>
      <c r="FAA1" s="434"/>
      <c r="FAB1" s="434"/>
      <c r="FAC1" s="434"/>
      <c r="FAD1" s="434"/>
      <c r="FAE1" s="434"/>
      <c r="FAF1" s="434"/>
      <c r="FAG1" s="434"/>
      <c r="FAH1" s="434"/>
      <c r="FAI1" s="434"/>
      <c r="FAJ1" s="434"/>
      <c r="FAK1" s="434"/>
      <c r="FAL1" s="434"/>
      <c r="FAM1" s="434"/>
      <c r="FAN1" s="434"/>
      <c r="FAO1" s="434"/>
      <c r="FAP1" s="434"/>
      <c r="FAQ1" s="434"/>
      <c r="FAR1" s="434"/>
      <c r="FAS1" s="434"/>
      <c r="FAT1" s="434"/>
      <c r="FAU1" s="434"/>
      <c r="FAV1" s="434"/>
      <c r="FAW1" s="434"/>
      <c r="FAX1" s="434"/>
      <c r="FAY1" s="434"/>
      <c r="FAZ1" s="434"/>
      <c r="FBA1" s="434"/>
      <c r="FBB1" s="434"/>
      <c r="FBC1" s="434"/>
      <c r="FBD1" s="434"/>
      <c r="FBE1" s="434"/>
      <c r="FBF1" s="434"/>
      <c r="FBG1" s="434"/>
      <c r="FBH1" s="434"/>
      <c r="FBI1" s="434"/>
      <c r="FBJ1" s="434"/>
      <c r="FBK1" s="434"/>
      <c r="FBL1" s="434"/>
      <c r="FBM1" s="434"/>
      <c r="FBN1" s="434"/>
      <c r="FBO1" s="434"/>
      <c r="FBP1" s="434"/>
      <c r="FBQ1" s="434"/>
      <c r="FBR1" s="434"/>
      <c r="FBS1" s="434"/>
      <c r="FBT1" s="434"/>
      <c r="FBU1" s="434"/>
      <c r="FBV1" s="434"/>
      <c r="FBW1" s="434"/>
      <c r="FBX1" s="434"/>
      <c r="FBY1" s="434"/>
      <c r="FBZ1" s="434"/>
      <c r="FCA1" s="434"/>
      <c r="FCB1" s="434"/>
      <c r="FCC1" s="434"/>
      <c r="FCD1" s="434"/>
      <c r="FCE1" s="434"/>
      <c r="FCF1" s="434"/>
      <c r="FCG1" s="434"/>
      <c r="FCH1" s="434"/>
      <c r="FCI1" s="434"/>
      <c r="FCJ1" s="434"/>
      <c r="FCK1" s="434"/>
      <c r="FCL1" s="434"/>
      <c r="FCM1" s="434"/>
      <c r="FCN1" s="434"/>
      <c r="FCO1" s="434"/>
      <c r="FCP1" s="434"/>
      <c r="FCQ1" s="434"/>
      <c r="FCR1" s="434"/>
      <c r="FCS1" s="434"/>
      <c r="FCT1" s="434"/>
      <c r="FCU1" s="434"/>
      <c r="FCV1" s="434"/>
      <c r="FCW1" s="434"/>
      <c r="FCX1" s="434"/>
      <c r="FCY1" s="434"/>
      <c r="FCZ1" s="434"/>
      <c r="FDA1" s="434"/>
      <c r="FDB1" s="434"/>
      <c r="FDC1" s="434"/>
      <c r="FDD1" s="434"/>
      <c r="FDE1" s="434"/>
      <c r="FDF1" s="434"/>
      <c r="FDG1" s="434"/>
      <c r="FDH1" s="434"/>
      <c r="FDI1" s="434"/>
      <c r="FDJ1" s="434"/>
      <c r="FDK1" s="434"/>
      <c r="FDL1" s="434"/>
      <c r="FDM1" s="434"/>
      <c r="FDN1" s="434"/>
      <c r="FDO1" s="434"/>
      <c r="FDP1" s="434"/>
      <c r="FDQ1" s="434"/>
      <c r="FDR1" s="434"/>
      <c r="FDS1" s="434"/>
      <c r="FDT1" s="434"/>
      <c r="FDU1" s="434"/>
      <c r="FDV1" s="434"/>
      <c r="FDW1" s="434"/>
      <c r="FDX1" s="434"/>
      <c r="FDY1" s="434"/>
      <c r="FDZ1" s="434"/>
      <c r="FEA1" s="434"/>
      <c r="FEB1" s="434"/>
      <c r="FEC1" s="434"/>
      <c r="FED1" s="434"/>
      <c r="FEE1" s="434"/>
      <c r="FEF1" s="434"/>
      <c r="FEG1" s="434"/>
      <c r="FEH1" s="434"/>
      <c r="FEI1" s="434"/>
      <c r="FEJ1" s="434"/>
      <c r="FEK1" s="434"/>
      <c r="FEL1" s="434"/>
      <c r="FEM1" s="434"/>
      <c r="FEN1" s="434"/>
      <c r="FEO1" s="434"/>
      <c r="FEP1" s="434"/>
      <c r="FEQ1" s="434"/>
      <c r="FER1" s="434"/>
      <c r="FES1" s="434"/>
      <c r="FET1" s="434"/>
      <c r="FEU1" s="434"/>
      <c r="FEV1" s="434"/>
      <c r="FEW1" s="434"/>
      <c r="FEX1" s="434"/>
      <c r="FEY1" s="434"/>
      <c r="FEZ1" s="434"/>
      <c r="FFA1" s="434"/>
      <c r="FFB1" s="434"/>
      <c r="FFC1" s="434"/>
      <c r="FFD1" s="434"/>
      <c r="FFE1" s="434"/>
      <c r="FFF1" s="434"/>
      <c r="FFG1" s="434"/>
      <c r="FFH1" s="434"/>
      <c r="FFI1" s="434"/>
      <c r="FFJ1" s="434"/>
      <c r="FFK1" s="434"/>
      <c r="FFL1" s="434"/>
      <c r="FFM1" s="434"/>
      <c r="FFN1" s="434"/>
      <c r="FFO1" s="434"/>
      <c r="FFP1" s="434"/>
      <c r="FFQ1" s="434"/>
      <c r="FFR1" s="434"/>
      <c r="FFS1" s="434"/>
      <c r="FFT1" s="434"/>
      <c r="FFU1" s="434"/>
      <c r="FFV1" s="434"/>
      <c r="FFW1" s="434"/>
      <c r="FFX1" s="434"/>
      <c r="FFY1" s="434"/>
      <c r="FFZ1" s="434"/>
      <c r="FGA1" s="434"/>
      <c r="FGB1" s="434"/>
      <c r="FGC1" s="434"/>
      <c r="FGD1" s="434"/>
      <c r="FGE1" s="434"/>
      <c r="FGF1" s="434"/>
      <c r="FGG1" s="434"/>
      <c r="FGH1" s="434"/>
      <c r="FGI1" s="434"/>
      <c r="FGJ1" s="434"/>
      <c r="FGK1" s="434"/>
      <c r="FGL1" s="434"/>
      <c r="FGM1" s="434"/>
      <c r="FGN1" s="434"/>
      <c r="FGO1" s="434"/>
      <c r="FGP1" s="434"/>
      <c r="FGQ1" s="434"/>
      <c r="FGR1" s="434"/>
      <c r="FGS1" s="434"/>
      <c r="FGT1" s="434"/>
      <c r="FGU1" s="434"/>
      <c r="FGV1" s="434"/>
      <c r="FGW1" s="434"/>
      <c r="FGX1" s="434"/>
      <c r="FGY1" s="434"/>
      <c r="FGZ1" s="434"/>
      <c r="FHA1" s="434"/>
      <c r="FHB1" s="434"/>
      <c r="FHC1" s="434"/>
      <c r="FHD1" s="434"/>
      <c r="FHE1" s="434"/>
      <c r="FHF1" s="434"/>
      <c r="FHG1" s="434"/>
      <c r="FHH1" s="434"/>
      <c r="FHI1" s="434"/>
      <c r="FHJ1" s="434"/>
      <c r="FHK1" s="434"/>
      <c r="FHL1" s="434"/>
      <c r="FHM1" s="434"/>
      <c r="FHN1" s="434"/>
      <c r="FHO1" s="434"/>
      <c r="FHP1" s="434"/>
      <c r="FHQ1" s="434"/>
      <c r="FHR1" s="434"/>
      <c r="FHS1" s="434"/>
      <c r="FHT1" s="434"/>
      <c r="FHU1" s="434"/>
      <c r="FHV1" s="434"/>
      <c r="FHW1" s="434"/>
      <c r="FHX1" s="434"/>
      <c r="FHY1" s="434"/>
      <c r="FHZ1" s="434"/>
      <c r="FIA1" s="434"/>
      <c r="FIB1" s="434"/>
      <c r="FIC1" s="434"/>
      <c r="FID1" s="434"/>
      <c r="FIE1" s="434"/>
      <c r="FIF1" s="434"/>
      <c r="FIG1" s="434"/>
      <c r="FIH1" s="434"/>
      <c r="FII1" s="434"/>
      <c r="FIJ1" s="434"/>
      <c r="FIK1" s="434"/>
      <c r="FIL1" s="434"/>
      <c r="FIM1" s="434"/>
      <c r="FIN1" s="434"/>
      <c r="FIO1" s="434"/>
      <c r="FIP1" s="434"/>
      <c r="FIQ1" s="434"/>
      <c r="FIR1" s="434"/>
      <c r="FIS1" s="434"/>
      <c r="FIT1" s="434"/>
      <c r="FIU1" s="434"/>
      <c r="FIV1" s="434"/>
      <c r="FIW1" s="434"/>
      <c r="FIX1" s="434"/>
      <c r="FIY1" s="434"/>
      <c r="FIZ1" s="434"/>
      <c r="FJA1" s="434"/>
      <c r="FJB1" s="434"/>
      <c r="FJC1" s="434"/>
      <c r="FJD1" s="434"/>
      <c r="FJE1" s="434"/>
      <c r="FJF1" s="434"/>
      <c r="FJG1" s="434"/>
      <c r="FJH1" s="434"/>
      <c r="FJI1" s="434"/>
      <c r="FJJ1" s="434"/>
      <c r="FJK1" s="434"/>
      <c r="FJL1" s="434"/>
      <c r="FJM1" s="434"/>
      <c r="FJN1" s="434"/>
      <c r="FJO1" s="434"/>
      <c r="FJP1" s="434"/>
      <c r="FJQ1" s="434"/>
      <c r="FJR1" s="434"/>
      <c r="FJS1" s="434"/>
      <c r="FJT1" s="434"/>
      <c r="FJU1" s="434"/>
      <c r="FJV1" s="434"/>
      <c r="FJW1" s="434"/>
      <c r="FJX1" s="434"/>
      <c r="FJY1" s="434"/>
      <c r="FJZ1" s="434"/>
      <c r="FKA1" s="434"/>
      <c r="FKB1" s="434"/>
      <c r="FKC1" s="434"/>
      <c r="FKD1" s="434"/>
      <c r="FKE1" s="434"/>
      <c r="FKF1" s="434"/>
      <c r="FKG1" s="434"/>
      <c r="FKH1" s="434"/>
      <c r="FKI1" s="434"/>
      <c r="FKJ1" s="434"/>
      <c r="FKK1" s="434"/>
      <c r="FKL1" s="434"/>
      <c r="FKM1" s="434"/>
      <c r="FKN1" s="434"/>
      <c r="FKO1" s="434"/>
      <c r="FKP1" s="434"/>
      <c r="FKQ1" s="434"/>
      <c r="FKR1" s="434"/>
      <c r="FKS1" s="434"/>
      <c r="FKT1" s="434"/>
      <c r="FKU1" s="434"/>
      <c r="FKV1" s="434"/>
      <c r="FKW1" s="434"/>
      <c r="FKX1" s="434"/>
      <c r="FKY1" s="434"/>
      <c r="FKZ1" s="434"/>
      <c r="FLA1" s="434"/>
      <c r="FLB1" s="434"/>
      <c r="FLC1" s="434"/>
      <c r="FLD1" s="434"/>
      <c r="FLE1" s="434"/>
      <c r="FLF1" s="434"/>
      <c r="FLG1" s="434"/>
      <c r="FLH1" s="434"/>
      <c r="FLI1" s="434"/>
      <c r="FLJ1" s="434"/>
      <c r="FLK1" s="434"/>
      <c r="FLL1" s="434"/>
      <c r="FLM1" s="434"/>
      <c r="FLN1" s="434"/>
      <c r="FLO1" s="434"/>
      <c r="FLP1" s="434"/>
      <c r="FLQ1" s="434"/>
      <c r="FLR1" s="434"/>
      <c r="FLS1" s="434"/>
      <c r="FLT1" s="434"/>
      <c r="FLU1" s="434"/>
      <c r="FLV1" s="434"/>
      <c r="FLW1" s="434"/>
      <c r="FLX1" s="434"/>
      <c r="FLY1" s="434"/>
      <c r="FLZ1" s="434"/>
      <c r="FMA1" s="434"/>
      <c r="FMB1" s="434"/>
      <c r="FMC1" s="434"/>
      <c r="FMD1" s="434"/>
      <c r="FME1" s="434"/>
      <c r="FMF1" s="434"/>
      <c r="FMG1" s="434"/>
      <c r="FMH1" s="434"/>
      <c r="FMI1" s="434"/>
      <c r="FMJ1" s="434"/>
      <c r="FMK1" s="434"/>
      <c r="FML1" s="434"/>
      <c r="FMM1" s="434"/>
      <c r="FMN1" s="434"/>
      <c r="FMO1" s="434"/>
      <c r="FMP1" s="434"/>
      <c r="FMQ1" s="434"/>
      <c r="FMR1" s="434"/>
      <c r="FMS1" s="434"/>
      <c r="FMT1" s="434"/>
      <c r="FMU1" s="434"/>
      <c r="FMV1" s="434"/>
      <c r="FMW1" s="434"/>
      <c r="FMX1" s="434"/>
      <c r="FMY1" s="434"/>
      <c r="FMZ1" s="434"/>
      <c r="FNA1" s="434"/>
      <c r="FNB1" s="434"/>
      <c r="FNC1" s="434"/>
      <c r="FND1" s="434"/>
      <c r="FNE1" s="434"/>
      <c r="FNF1" s="434"/>
      <c r="FNG1" s="434"/>
      <c r="FNH1" s="434"/>
      <c r="FNI1" s="434"/>
      <c r="FNJ1" s="434"/>
      <c r="FNK1" s="434"/>
      <c r="FNL1" s="434"/>
      <c r="FNM1" s="434"/>
      <c r="FNN1" s="434"/>
      <c r="FNO1" s="434"/>
      <c r="FNP1" s="434"/>
      <c r="FNQ1" s="434"/>
      <c r="FNR1" s="434"/>
      <c r="FNS1" s="434"/>
      <c r="FNT1" s="434"/>
      <c r="FNU1" s="434"/>
      <c r="FNV1" s="434"/>
      <c r="FNW1" s="434"/>
      <c r="FNX1" s="434"/>
      <c r="FNY1" s="434"/>
      <c r="FNZ1" s="434"/>
      <c r="FOA1" s="434"/>
      <c r="FOB1" s="434"/>
      <c r="FOC1" s="434"/>
      <c r="FOD1" s="434"/>
      <c r="FOE1" s="434"/>
      <c r="FOF1" s="434"/>
      <c r="FOG1" s="434"/>
      <c r="FOH1" s="434"/>
      <c r="FOI1" s="434"/>
      <c r="FOJ1" s="434"/>
      <c r="FOK1" s="434"/>
      <c r="FOL1" s="434"/>
      <c r="FOM1" s="434"/>
      <c r="FON1" s="434"/>
      <c r="FOO1" s="434"/>
      <c r="FOP1" s="434"/>
      <c r="FOQ1" s="434"/>
      <c r="FOR1" s="434"/>
      <c r="FOS1" s="434"/>
      <c r="FOT1" s="434"/>
      <c r="FOU1" s="434"/>
      <c r="FOV1" s="434"/>
      <c r="FOW1" s="434"/>
      <c r="FOX1" s="434"/>
      <c r="FOY1" s="434"/>
      <c r="FOZ1" s="434"/>
      <c r="FPA1" s="434"/>
      <c r="FPB1" s="434"/>
      <c r="FPC1" s="434"/>
      <c r="FPD1" s="434"/>
      <c r="FPE1" s="434"/>
      <c r="FPF1" s="434"/>
      <c r="FPG1" s="434"/>
      <c r="FPH1" s="434"/>
      <c r="FPI1" s="434"/>
      <c r="FPJ1" s="434"/>
      <c r="FPK1" s="434"/>
      <c r="FPL1" s="434"/>
      <c r="FPM1" s="434"/>
      <c r="FPN1" s="434"/>
      <c r="FPO1" s="434"/>
      <c r="FPP1" s="434"/>
      <c r="FPQ1" s="434"/>
      <c r="FPR1" s="434"/>
      <c r="FPS1" s="434"/>
      <c r="FPT1" s="434"/>
      <c r="FPU1" s="434"/>
      <c r="FPV1" s="434"/>
      <c r="FPW1" s="434"/>
      <c r="FPX1" s="434"/>
      <c r="FPY1" s="434"/>
      <c r="FPZ1" s="434"/>
      <c r="FQA1" s="434"/>
      <c r="FQB1" s="434"/>
      <c r="FQC1" s="434"/>
      <c r="FQD1" s="434"/>
      <c r="FQE1" s="434"/>
      <c r="FQF1" s="434"/>
      <c r="FQG1" s="434"/>
      <c r="FQH1" s="434"/>
      <c r="FQI1" s="434"/>
      <c r="FQJ1" s="434"/>
      <c r="FQK1" s="434"/>
      <c r="FQL1" s="434"/>
      <c r="FQM1" s="434"/>
      <c r="FQN1" s="434"/>
      <c r="FQO1" s="434"/>
      <c r="FQP1" s="434"/>
      <c r="FQQ1" s="434"/>
      <c r="FQR1" s="434"/>
      <c r="FQS1" s="434"/>
      <c r="FQT1" s="434"/>
      <c r="FQU1" s="434"/>
      <c r="FQV1" s="434"/>
      <c r="FQW1" s="434"/>
      <c r="FQX1" s="434"/>
      <c r="FQY1" s="434"/>
      <c r="FQZ1" s="434"/>
      <c r="FRA1" s="434"/>
      <c r="FRB1" s="434"/>
      <c r="FRC1" s="434"/>
      <c r="FRD1" s="434"/>
      <c r="FRE1" s="434"/>
      <c r="FRF1" s="434"/>
      <c r="FRG1" s="434"/>
      <c r="FRH1" s="434"/>
      <c r="FRI1" s="434"/>
      <c r="FRJ1" s="434"/>
      <c r="FRK1" s="434"/>
      <c r="FRL1" s="434"/>
      <c r="FRM1" s="434"/>
      <c r="FRN1" s="434"/>
      <c r="FRO1" s="434"/>
      <c r="FRP1" s="434"/>
      <c r="FRQ1" s="434"/>
      <c r="FRR1" s="434"/>
      <c r="FRS1" s="434"/>
      <c r="FRT1" s="434"/>
      <c r="FRU1" s="434"/>
      <c r="FRV1" s="434"/>
      <c r="FRW1" s="434"/>
      <c r="FRX1" s="434"/>
      <c r="FRY1" s="434"/>
      <c r="FRZ1" s="434"/>
      <c r="FSA1" s="434"/>
      <c r="FSB1" s="434"/>
      <c r="FSC1" s="434"/>
      <c r="FSD1" s="434"/>
      <c r="FSE1" s="434"/>
      <c r="FSF1" s="434"/>
      <c r="FSG1" s="434"/>
      <c r="FSH1" s="434"/>
      <c r="FSI1" s="434"/>
      <c r="FSJ1" s="434"/>
      <c r="FSK1" s="434"/>
      <c r="FSL1" s="434"/>
      <c r="FSM1" s="434"/>
      <c r="FSN1" s="434"/>
      <c r="FSO1" s="434"/>
      <c r="FSP1" s="434"/>
      <c r="FSQ1" s="434"/>
      <c r="FSR1" s="434"/>
      <c r="FSS1" s="434"/>
      <c r="FST1" s="434"/>
      <c r="FSU1" s="434"/>
      <c r="FSV1" s="434"/>
      <c r="FSW1" s="434"/>
      <c r="FSX1" s="434"/>
      <c r="FSY1" s="434"/>
      <c r="FSZ1" s="434"/>
      <c r="FTA1" s="434"/>
      <c r="FTB1" s="434"/>
      <c r="FTC1" s="434"/>
      <c r="FTD1" s="434"/>
      <c r="FTE1" s="434"/>
      <c r="FTF1" s="434"/>
      <c r="FTG1" s="434"/>
      <c r="FTH1" s="434"/>
      <c r="FTI1" s="434"/>
      <c r="FTJ1" s="434"/>
      <c r="FTK1" s="434"/>
      <c r="FTL1" s="434"/>
      <c r="FTM1" s="434"/>
      <c r="FTN1" s="434"/>
      <c r="FTO1" s="434"/>
      <c r="FTP1" s="434"/>
      <c r="FTQ1" s="434"/>
      <c r="FTR1" s="434"/>
      <c r="FTS1" s="434"/>
      <c r="FTT1" s="434"/>
      <c r="FTU1" s="434"/>
      <c r="FTV1" s="434"/>
      <c r="FTW1" s="434"/>
      <c r="FTX1" s="434"/>
      <c r="FTY1" s="434"/>
      <c r="FTZ1" s="434"/>
      <c r="FUA1" s="434"/>
      <c r="FUB1" s="434"/>
      <c r="FUC1" s="434"/>
      <c r="FUD1" s="434"/>
      <c r="FUE1" s="434"/>
      <c r="FUF1" s="434"/>
      <c r="FUG1" s="434"/>
      <c r="FUH1" s="434"/>
      <c r="FUI1" s="434"/>
      <c r="FUJ1" s="434"/>
      <c r="FUK1" s="434"/>
      <c r="FUL1" s="434"/>
      <c r="FUM1" s="434"/>
      <c r="FUN1" s="434"/>
      <c r="FUO1" s="434"/>
      <c r="FUP1" s="434"/>
      <c r="FUQ1" s="434"/>
      <c r="FUR1" s="434"/>
      <c r="FUS1" s="434"/>
      <c r="FUT1" s="434"/>
      <c r="FUU1" s="434"/>
      <c r="FUV1" s="434"/>
      <c r="FUW1" s="434"/>
      <c r="FUX1" s="434"/>
      <c r="FUY1" s="434"/>
      <c r="FUZ1" s="434"/>
      <c r="FVA1" s="434"/>
      <c r="FVB1" s="434"/>
      <c r="FVC1" s="434"/>
      <c r="FVD1" s="434"/>
      <c r="FVE1" s="434"/>
      <c r="FVF1" s="434"/>
      <c r="FVG1" s="434"/>
      <c r="FVH1" s="434"/>
      <c r="FVI1" s="434"/>
      <c r="FVJ1" s="434"/>
      <c r="FVK1" s="434"/>
      <c r="FVL1" s="434"/>
      <c r="FVM1" s="434"/>
      <c r="FVN1" s="434"/>
      <c r="FVO1" s="434"/>
      <c r="FVP1" s="434"/>
      <c r="FVQ1" s="434"/>
      <c r="FVR1" s="434"/>
      <c r="FVS1" s="434"/>
      <c r="FVT1" s="434"/>
      <c r="FVU1" s="434"/>
      <c r="FVV1" s="434"/>
      <c r="FVW1" s="434"/>
      <c r="FVX1" s="434"/>
      <c r="FVY1" s="434"/>
      <c r="FVZ1" s="434"/>
      <c r="FWA1" s="434"/>
      <c r="FWB1" s="434"/>
      <c r="FWC1" s="434"/>
      <c r="FWD1" s="434"/>
      <c r="FWE1" s="434"/>
      <c r="FWF1" s="434"/>
      <c r="FWG1" s="434"/>
      <c r="FWH1" s="434"/>
      <c r="FWI1" s="434"/>
      <c r="FWJ1" s="434"/>
      <c r="FWK1" s="434"/>
      <c r="FWL1" s="434"/>
      <c r="FWM1" s="434"/>
      <c r="FWN1" s="434"/>
      <c r="FWO1" s="434"/>
      <c r="FWP1" s="434"/>
      <c r="FWQ1" s="434"/>
      <c r="FWR1" s="434"/>
      <c r="FWS1" s="434"/>
      <c r="FWT1" s="434"/>
      <c r="FWU1" s="434"/>
      <c r="FWV1" s="434"/>
      <c r="FWW1" s="434"/>
      <c r="FWX1" s="434"/>
      <c r="FWY1" s="434"/>
      <c r="FWZ1" s="434"/>
      <c r="FXA1" s="434"/>
      <c r="FXB1" s="434"/>
      <c r="FXC1" s="434"/>
      <c r="FXD1" s="434"/>
      <c r="FXE1" s="434"/>
      <c r="FXF1" s="434"/>
      <c r="FXG1" s="434"/>
      <c r="FXH1" s="434"/>
      <c r="FXI1" s="434"/>
      <c r="FXJ1" s="434"/>
      <c r="FXK1" s="434"/>
      <c r="FXL1" s="434"/>
      <c r="FXM1" s="434"/>
      <c r="FXN1" s="434"/>
      <c r="FXO1" s="434"/>
      <c r="FXP1" s="434"/>
      <c r="FXQ1" s="434"/>
      <c r="FXR1" s="434"/>
      <c r="FXS1" s="434"/>
      <c r="FXT1" s="434"/>
      <c r="FXU1" s="434"/>
      <c r="FXV1" s="434"/>
      <c r="FXW1" s="434"/>
      <c r="FXX1" s="434"/>
      <c r="FXY1" s="434"/>
      <c r="FXZ1" s="434"/>
      <c r="FYA1" s="434"/>
      <c r="FYB1" s="434"/>
      <c r="FYC1" s="434"/>
      <c r="FYD1" s="434"/>
      <c r="FYE1" s="434"/>
      <c r="FYF1" s="434"/>
      <c r="FYG1" s="434"/>
      <c r="FYH1" s="434"/>
      <c r="FYI1" s="434"/>
      <c r="FYJ1" s="434"/>
      <c r="FYK1" s="434"/>
      <c r="FYL1" s="434"/>
      <c r="FYM1" s="434"/>
      <c r="FYN1" s="434"/>
      <c r="FYO1" s="434"/>
      <c r="FYP1" s="434"/>
      <c r="FYQ1" s="434"/>
      <c r="FYR1" s="434"/>
      <c r="FYS1" s="434"/>
      <c r="FYT1" s="434"/>
      <c r="FYU1" s="434"/>
      <c r="FYV1" s="434"/>
      <c r="FYW1" s="434"/>
      <c r="FYX1" s="434"/>
      <c r="FYY1" s="434"/>
      <c r="FYZ1" s="434"/>
      <c r="FZA1" s="434"/>
      <c r="FZB1" s="434"/>
      <c r="FZC1" s="434"/>
      <c r="FZD1" s="434"/>
      <c r="FZE1" s="434"/>
      <c r="FZF1" s="434"/>
      <c r="FZG1" s="434"/>
      <c r="FZH1" s="434"/>
      <c r="FZI1" s="434"/>
      <c r="FZJ1" s="434"/>
      <c r="FZK1" s="434"/>
      <c r="FZL1" s="434"/>
      <c r="FZM1" s="434"/>
      <c r="FZN1" s="434"/>
      <c r="FZO1" s="434"/>
      <c r="FZP1" s="434"/>
      <c r="FZQ1" s="434"/>
      <c r="FZR1" s="434"/>
      <c r="FZS1" s="434"/>
      <c r="FZT1" s="434"/>
      <c r="FZU1" s="434"/>
      <c r="FZV1" s="434"/>
      <c r="FZW1" s="434"/>
      <c r="FZX1" s="434"/>
      <c r="FZY1" s="434"/>
      <c r="FZZ1" s="434"/>
      <c r="GAA1" s="434"/>
      <c r="GAB1" s="434"/>
      <c r="GAC1" s="434"/>
      <c r="GAD1" s="434"/>
      <c r="GAE1" s="434"/>
      <c r="GAF1" s="434"/>
      <c r="GAG1" s="434"/>
      <c r="GAH1" s="434"/>
      <c r="GAI1" s="434"/>
      <c r="GAJ1" s="434"/>
      <c r="GAK1" s="434"/>
      <c r="GAL1" s="434"/>
      <c r="GAM1" s="434"/>
      <c r="GAN1" s="434"/>
      <c r="GAO1" s="434"/>
      <c r="GAP1" s="434"/>
      <c r="GAQ1" s="434"/>
      <c r="GAR1" s="434"/>
      <c r="GAS1" s="434"/>
      <c r="GAT1" s="434"/>
      <c r="GAU1" s="434"/>
      <c r="GAV1" s="434"/>
      <c r="GAW1" s="434"/>
      <c r="GAX1" s="434"/>
      <c r="GAY1" s="434"/>
      <c r="GAZ1" s="434"/>
      <c r="GBA1" s="434"/>
      <c r="GBB1" s="434"/>
      <c r="GBC1" s="434"/>
      <c r="GBD1" s="434"/>
      <c r="GBE1" s="434"/>
      <c r="GBF1" s="434"/>
      <c r="GBG1" s="434"/>
      <c r="GBH1" s="434"/>
      <c r="GBI1" s="434"/>
      <c r="GBJ1" s="434"/>
      <c r="GBK1" s="434"/>
      <c r="GBL1" s="434"/>
      <c r="GBM1" s="434"/>
      <c r="GBN1" s="434"/>
      <c r="GBO1" s="434"/>
      <c r="GBP1" s="434"/>
      <c r="GBQ1" s="434"/>
      <c r="GBR1" s="434"/>
      <c r="GBS1" s="434"/>
      <c r="GBT1" s="434"/>
      <c r="GBU1" s="434"/>
      <c r="GBV1" s="434"/>
      <c r="GBW1" s="434"/>
      <c r="GBX1" s="434"/>
      <c r="GBY1" s="434"/>
      <c r="GBZ1" s="434"/>
      <c r="GCA1" s="434"/>
      <c r="GCB1" s="434"/>
      <c r="GCC1" s="434"/>
      <c r="GCD1" s="434"/>
      <c r="GCE1" s="434"/>
      <c r="GCF1" s="434"/>
      <c r="GCG1" s="434"/>
      <c r="GCH1" s="434"/>
      <c r="GCI1" s="434"/>
      <c r="GCJ1" s="434"/>
      <c r="GCK1" s="434"/>
      <c r="GCL1" s="434"/>
      <c r="GCM1" s="434"/>
      <c r="GCN1" s="434"/>
      <c r="GCO1" s="434"/>
      <c r="GCP1" s="434"/>
      <c r="GCQ1" s="434"/>
      <c r="GCR1" s="434"/>
      <c r="GCS1" s="434"/>
      <c r="GCT1" s="434"/>
      <c r="GCU1" s="434"/>
      <c r="GCV1" s="434"/>
      <c r="GCW1" s="434"/>
      <c r="GCX1" s="434"/>
      <c r="GCY1" s="434"/>
      <c r="GCZ1" s="434"/>
      <c r="GDA1" s="434"/>
      <c r="GDB1" s="434"/>
      <c r="GDC1" s="434"/>
      <c r="GDD1" s="434"/>
      <c r="GDE1" s="434"/>
      <c r="GDF1" s="434"/>
      <c r="GDG1" s="434"/>
      <c r="GDH1" s="434"/>
      <c r="GDI1" s="434"/>
      <c r="GDJ1" s="434"/>
      <c r="GDK1" s="434"/>
      <c r="GDL1" s="434"/>
      <c r="GDM1" s="434"/>
      <c r="GDN1" s="434"/>
      <c r="GDO1" s="434"/>
      <c r="GDP1" s="434"/>
      <c r="GDQ1" s="434"/>
      <c r="GDR1" s="434"/>
      <c r="GDS1" s="434"/>
      <c r="GDT1" s="434"/>
      <c r="GDU1" s="434"/>
      <c r="GDV1" s="434"/>
      <c r="GDW1" s="434"/>
      <c r="GDX1" s="434"/>
      <c r="GDY1" s="434"/>
      <c r="GDZ1" s="434"/>
      <c r="GEA1" s="434"/>
      <c r="GEB1" s="434"/>
      <c r="GEC1" s="434"/>
      <c r="GED1" s="434"/>
      <c r="GEE1" s="434"/>
      <c r="GEF1" s="434"/>
      <c r="GEG1" s="434"/>
      <c r="GEH1" s="434"/>
      <c r="GEI1" s="434"/>
      <c r="GEJ1" s="434"/>
      <c r="GEK1" s="434"/>
      <c r="GEL1" s="434"/>
      <c r="GEM1" s="434"/>
      <c r="GEN1" s="434"/>
      <c r="GEO1" s="434"/>
      <c r="GEP1" s="434"/>
      <c r="GEQ1" s="434"/>
      <c r="GER1" s="434"/>
      <c r="GES1" s="434"/>
      <c r="GET1" s="434"/>
      <c r="GEU1" s="434"/>
      <c r="GEV1" s="434"/>
      <c r="GEW1" s="434"/>
      <c r="GEX1" s="434"/>
      <c r="GEY1" s="434"/>
      <c r="GEZ1" s="434"/>
      <c r="GFA1" s="434"/>
      <c r="GFB1" s="434"/>
      <c r="GFC1" s="434"/>
      <c r="GFD1" s="434"/>
      <c r="GFE1" s="434"/>
      <c r="GFF1" s="434"/>
      <c r="GFG1" s="434"/>
      <c r="GFH1" s="434"/>
      <c r="GFI1" s="434"/>
      <c r="GFJ1" s="434"/>
      <c r="GFK1" s="434"/>
      <c r="GFL1" s="434"/>
      <c r="GFM1" s="434"/>
      <c r="GFN1" s="434"/>
      <c r="GFO1" s="434"/>
      <c r="GFP1" s="434"/>
      <c r="GFQ1" s="434"/>
      <c r="GFR1" s="434"/>
      <c r="GFS1" s="434"/>
      <c r="GFT1" s="434"/>
      <c r="GFU1" s="434"/>
      <c r="GFV1" s="434"/>
      <c r="GFW1" s="434"/>
      <c r="GFX1" s="434"/>
      <c r="GFY1" s="434"/>
      <c r="GFZ1" s="434"/>
      <c r="GGA1" s="434"/>
      <c r="GGB1" s="434"/>
      <c r="GGC1" s="434"/>
      <c r="GGD1" s="434"/>
      <c r="GGE1" s="434"/>
      <c r="GGF1" s="434"/>
      <c r="GGG1" s="434"/>
      <c r="GGH1" s="434"/>
      <c r="GGI1" s="434"/>
      <c r="GGJ1" s="434"/>
      <c r="GGK1" s="434"/>
      <c r="GGL1" s="434"/>
      <c r="GGM1" s="434"/>
      <c r="GGN1" s="434"/>
      <c r="GGO1" s="434"/>
      <c r="GGP1" s="434"/>
      <c r="GGQ1" s="434"/>
      <c r="GGR1" s="434"/>
      <c r="GGS1" s="434"/>
      <c r="GGT1" s="434"/>
      <c r="GGU1" s="434"/>
      <c r="GGV1" s="434"/>
      <c r="GGW1" s="434"/>
      <c r="GGX1" s="434"/>
      <c r="GGY1" s="434"/>
      <c r="GGZ1" s="434"/>
      <c r="GHA1" s="434"/>
      <c r="GHB1" s="434"/>
      <c r="GHC1" s="434"/>
      <c r="GHD1" s="434"/>
      <c r="GHE1" s="434"/>
      <c r="GHF1" s="434"/>
      <c r="GHG1" s="434"/>
      <c r="GHH1" s="434"/>
      <c r="GHI1" s="434"/>
      <c r="GHJ1" s="434"/>
      <c r="GHK1" s="434"/>
      <c r="GHL1" s="434"/>
      <c r="GHM1" s="434"/>
      <c r="GHN1" s="434"/>
      <c r="GHO1" s="434"/>
      <c r="GHP1" s="434"/>
      <c r="GHQ1" s="434"/>
      <c r="GHR1" s="434"/>
      <c r="GHS1" s="434"/>
      <c r="GHT1" s="434"/>
      <c r="GHU1" s="434"/>
      <c r="GHV1" s="434"/>
      <c r="GHW1" s="434"/>
      <c r="GHX1" s="434"/>
      <c r="GHY1" s="434"/>
      <c r="GHZ1" s="434"/>
      <c r="GIA1" s="434"/>
      <c r="GIB1" s="434"/>
      <c r="GIC1" s="434"/>
      <c r="GID1" s="434"/>
      <c r="GIE1" s="434"/>
      <c r="GIF1" s="434"/>
      <c r="GIG1" s="434"/>
      <c r="GIH1" s="434"/>
      <c r="GII1" s="434"/>
      <c r="GIJ1" s="434"/>
      <c r="GIK1" s="434"/>
      <c r="GIL1" s="434"/>
      <c r="GIM1" s="434"/>
      <c r="GIN1" s="434"/>
      <c r="GIO1" s="434"/>
      <c r="GIP1" s="434"/>
      <c r="GIQ1" s="434"/>
      <c r="GIR1" s="434"/>
      <c r="GIS1" s="434"/>
      <c r="GIT1" s="434"/>
      <c r="GIU1" s="434"/>
      <c r="GIV1" s="434"/>
      <c r="GIW1" s="434"/>
      <c r="GIX1" s="434"/>
      <c r="GIY1" s="434"/>
      <c r="GIZ1" s="434"/>
      <c r="GJA1" s="434"/>
      <c r="GJB1" s="434"/>
      <c r="GJC1" s="434"/>
      <c r="GJD1" s="434"/>
      <c r="GJE1" s="434"/>
      <c r="GJF1" s="434"/>
      <c r="GJG1" s="434"/>
      <c r="GJH1" s="434"/>
      <c r="GJI1" s="434"/>
      <c r="GJJ1" s="434"/>
      <c r="GJK1" s="434"/>
      <c r="GJL1" s="434"/>
      <c r="GJM1" s="434"/>
      <c r="GJN1" s="434"/>
      <c r="GJO1" s="434"/>
      <c r="GJP1" s="434"/>
      <c r="GJQ1" s="434"/>
      <c r="GJR1" s="434"/>
      <c r="GJS1" s="434"/>
      <c r="GJT1" s="434"/>
      <c r="GJU1" s="434"/>
      <c r="GJV1" s="434"/>
      <c r="GJW1" s="434"/>
      <c r="GJX1" s="434"/>
      <c r="GJY1" s="434"/>
      <c r="GJZ1" s="434"/>
      <c r="GKA1" s="434"/>
      <c r="GKB1" s="434"/>
      <c r="GKC1" s="434"/>
      <c r="GKD1" s="434"/>
      <c r="GKE1" s="434"/>
      <c r="GKF1" s="434"/>
      <c r="GKG1" s="434"/>
      <c r="GKH1" s="434"/>
      <c r="GKI1" s="434"/>
      <c r="GKJ1" s="434"/>
      <c r="GKK1" s="434"/>
      <c r="GKL1" s="434"/>
      <c r="GKM1" s="434"/>
      <c r="GKN1" s="434"/>
      <c r="GKO1" s="434"/>
      <c r="GKP1" s="434"/>
      <c r="GKQ1" s="434"/>
      <c r="GKR1" s="434"/>
      <c r="GKS1" s="434"/>
      <c r="GKT1" s="434"/>
      <c r="GKU1" s="434"/>
      <c r="GKV1" s="434"/>
      <c r="GKW1" s="434"/>
      <c r="GKX1" s="434"/>
      <c r="GKY1" s="434"/>
      <c r="GKZ1" s="434"/>
      <c r="GLA1" s="434"/>
      <c r="GLB1" s="434"/>
      <c r="GLC1" s="434"/>
      <c r="GLD1" s="434"/>
      <c r="GLE1" s="434"/>
      <c r="GLF1" s="434"/>
      <c r="GLG1" s="434"/>
      <c r="GLH1" s="434"/>
      <c r="GLI1" s="434"/>
      <c r="GLJ1" s="434"/>
      <c r="GLK1" s="434"/>
      <c r="GLL1" s="434"/>
      <c r="GLM1" s="434"/>
      <c r="GLN1" s="434"/>
      <c r="GLO1" s="434"/>
      <c r="GLP1" s="434"/>
      <c r="GLQ1" s="434"/>
      <c r="GLR1" s="434"/>
      <c r="GLS1" s="434"/>
      <c r="GLT1" s="434"/>
      <c r="GLU1" s="434"/>
      <c r="GLV1" s="434"/>
      <c r="GLW1" s="434"/>
      <c r="GLX1" s="434"/>
      <c r="GLY1" s="434"/>
      <c r="GLZ1" s="434"/>
      <c r="GMA1" s="434"/>
      <c r="GMB1" s="434"/>
      <c r="GMC1" s="434"/>
      <c r="GMD1" s="434"/>
      <c r="GME1" s="434"/>
      <c r="GMF1" s="434"/>
      <c r="GMG1" s="434"/>
      <c r="GMH1" s="434"/>
      <c r="GMI1" s="434"/>
      <c r="GMJ1" s="434"/>
      <c r="GMK1" s="434"/>
      <c r="GML1" s="434"/>
      <c r="GMM1" s="434"/>
      <c r="GMN1" s="434"/>
      <c r="GMO1" s="434"/>
      <c r="GMP1" s="434"/>
      <c r="GMQ1" s="434"/>
      <c r="GMR1" s="434"/>
      <c r="GMS1" s="434"/>
      <c r="GMT1" s="434"/>
      <c r="GMU1" s="434"/>
      <c r="GMV1" s="434"/>
      <c r="GMW1" s="434"/>
      <c r="GMX1" s="434"/>
      <c r="GMY1" s="434"/>
      <c r="GMZ1" s="434"/>
      <c r="GNA1" s="434"/>
      <c r="GNB1" s="434"/>
      <c r="GNC1" s="434"/>
      <c r="GND1" s="434"/>
      <c r="GNE1" s="434"/>
      <c r="GNF1" s="434"/>
      <c r="GNG1" s="434"/>
      <c r="GNH1" s="434"/>
      <c r="GNI1" s="434"/>
      <c r="GNJ1" s="434"/>
      <c r="GNK1" s="434"/>
      <c r="GNL1" s="434"/>
      <c r="GNM1" s="434"/>
      <c r="GNN1" s="434"/>
      <c r="GNO1" s="434"/>
      <c r="GNP1" s="434"/>
      <c r="GNQ1" s="434"/>
      <c r="GNR1" s="434"/>
      <c r="GNS1" s="434"/>
      <c r="GNT1" s="434"/>
      <c r="GNU1" s="434"/>
      <c r="GNV1" s="434"/>
      <c r="GNW1" s="434"/>
      <c r="GNX1" s="434"/>
      <c r="GNY1" s="434"/>
      <c r="GNZ1" s="434"/>
      <c r="GOA1" s="434"/>
      <c r="GOB1" s="434"/>
      <c r="GOC1" s="434"/>
      <c r="GOD1" s="434"/>
      <c r="GOE1" s="434"/>
      <c r="GOF1" s="434"/>
      <c r="GOG1" s="434"/>
      <c r="GOH1" s="434"/>
      <c r="GOI1" s="434"/>
      <c r="GOJ1" s="434"/>
      <c r="GOK1" s="434"/>
      <c r="GOL1" s="434"/>
      <c r="GOM1" s="434"/>
      <c r="GON1" s="434"/>
      <c r="GOO1" s="434"/>
      <c r="GOP1" s="434"/>
      <c r="GOQ1" s="434"/>
      <c r="GOR1" s="434"/>
      <c r="GOS1" s="434"/>
      <c r="GOT1" s="434"/>
      <c r="GOU1" s="434"/>
      <c r="GOV1" s="434"/>
      <c r="GOW1" s="434"/>
      <c r="GOX1" s="434"/>
      <c r="GOY1" s="434"/>
      <c r="GOZ1" s="434"/>
      <c r="GPA1" s="434"/>
      <c r="GPB1" s="434"/>
      <c r="GPC1" s="434"/>
      <c r="GPD1" s="434"/>
      <c r="GPE1" s="434"/>
      <c r="GPF1" s="434"/>
      <c r="GPG1" s="434"/>
      <c r="GPH1" s="434"/>
      <c r="GPI1" s="434"/>
      <c r="GPJ1" s="434"/>
      <c r="GPK1" s="434"/>
      <c r="GPL1" s="434"/>
      <c r="GPM1" s="434"/>
      <c r="GPN1" s="434"/>
      <c r="GPO1" s="434"/>
      <c r="GPP1" s="434"/>
      <c r="GPQ1" s="434"/>
      <c r="GPR1" s="434"/>
      <c r="GPS1" s="434"/>
      <c r="GPT1" s="434"/>
      <c r="GPU1" s="434"/>
      <c r="GPV1" s="434"/>
      <c r="GPW1" s="434"/>
      <c r="GPX1" s="434"/>
      <c r="GPY1" s="434"/>
      <c r="GPZ1" s="434"/>
      <c r="GQA1" s="434"/>
      <c r="GQB1" s="434"/>
      <c r="GQC1" s="434"/>
      <c r="GQD1" s="434"/>
      <c r="GQE1" s="434"/>
      <c r="GQF1" s="434"/>
      <c r="GQG1" s="434"/>
      <c r="GQH1" s="434"/>
      <c r="GQI1" s="434"/>
      <c r="GQJ1" s="434"/>
      <c r="GQK1" s="434"/>
      <c r="GQL1" s="434"/>
      <c r="GQM1" s="434"/>
      <c r="GQN1" s="434"/>
      <c r="GQO1" s="434"/>
      <c r="GQP1" s="434"/>
      <c r="GQQ1" s="434"/>
      <c r="GQR1" s="434"/>
      <c r="GQS1" s="434"/>
      <c r="GQT1" s="434"/>
      <c r="GQU1" s="434"/>
      <c r="GQV1" s="434"/>
      <c r="GQW1" s="434"/>
      <c r="GQX1" s="434"/>
      <c r="GQY1" s="434"/>
      <c r="GQZ1" s="434"/>
      <c r="GRA1" s="434"/>
      <c r="GRB1" s="434"/>
      <c r="GRC1" s="434"/>
      <c r="GRD1" s="434"/>
      <c r="GRE1" s="434"/>
      <c r="GRF1" s="434"/>
      <c r="GRG1" s="434"/>
      <c r="GRH1" s="434"/>
      <c r="GRI1" s="434"/>
      <c r="GRJ1" s="434"/>
      <c r="GRK1" s="434"/>
      <c r="GRL1" s="434"/>
      <c r="GRM1" s="434"/>
      <c r="GRN1" s="434"/>
      <c r="GRO1" s="434"/>
      <c r="GRP1" s="434"/>
      <c r="GRQ1" s="434"/>
      <c r="GRR1" s="434"/>
      <c r="GRS1" s="434"/>
      <c r="GRT1" s="434"/>
      <c r="GRU1" s="434"/>
      <c r="GRV1" s="434"/>
      <c r="GRW1" s="434"/>
      <c r="GRX1" s="434"/>
      <c r="GRY1" s="434"/>
      <c r="GRZ1" s="434"/>
      <c r="GSA1" s="434"/>
      <c r="GSB1" s="434"/>
      <c r="GSC1" s="434"/>
      <c r="GSD1" s="434"/>
      <c r="GSE1" s="434"/>
      <c r="GSF1" s="434"/>
      <c r="GSG1" s="434"/>
      <c r="GSH1" s="434"/>
      <c r="GSI1" s="434"/>
      <c r="GSJ1" s="434"/>
      <c r="GSK1" s="434"/>
      <c r="GSL1" s="434"/>
      <c r="GSM1" s="434"/>
      <c r="GSN1" s="434"/>
      <c r="GSO1" s="434"/>
      <c r="GSP1" s="434"/>
      <c r="GSQ1" s="434"/>
      <c r="GSR1" s="434"/>
      <c r="GSS1" s="434"/>
      <c r="GST1" s="434"/>
      <c r="GSU1" s="434"/>
      <c r="GSV1" s="434"/>
      <c r="GSW1" s="434"/>
      <c r="GSX1" s="434"/>
      <c r="GSY1" s="434"/>
      <c r="GSZ1" s="434"/>
      <c r="GTA1" s="434"/>
      <c r="GTB1" s="434"/>
      <c r="GTC1" s="434"/>
      <c r="GTD1" s="434"/>
      <c r="GTE1" s="434"/>
      <c r="GTF1" s="434"/>
      <c r="GTG1" s="434"/>
      <c r="GTH1" s="434"/>
      <c r="GTI1" s="434"/>
      <c r="GTJ1" s="434"/>
      <c r="GTK1" s="434"/>
      <c r="GTL1" s="434"/>
      <c r="GTM1" s="434"/>
      <c r="GTN1" s="434"/>
      <c r="GTO1" s="434"/>
      <c r="GTP1" s="434"/>
      <c r="GTQ1" s="434"/>
      <c r="GTR1" s="434"/>
      <c r="GTS1" s="434"/>
      <c r="GTT1" s="434"/>
      <c r="GTU1" s="434"/>
      <c r="GTV1" s="434"/>
      <c r="GTW1" s="434"/>
      <c r="GTX1" s="434"/>
      <c r="GTY1" s="434"/>
      <c r="GTZ1" s="434"/>
      <c r="GUA1" s="434"/>
      <c r="GUB1" s="434"/>
      <c r="GUC1" s="434"/>
      <c r="GUD1" s="434"/>
      <c r="GUE1" s="434"/>
      <c r="GUF1" s="434"/>
      <c r="GUG1" s="434"/>
      <c r="GUH1" s="434"/>
      <c r="GUI1" s="434"/>
      <c r="GUJ1" s="434"/>
      <c r="GUK1" s="434"/>
      <c r="GUL1" s="434"/>
      <c r="GUM1" s="434"/>
      <c r="GUN1" s="434"/>
      <c r="GUO1" s="434"/>
      <c r="GUP1" s="434"/>
      <c r="GUQ1" s="434"/>
      <c r="GUR1" s="434"/>
      <c r="GUS1" s="434"/>
      <c r="GUT1" s="434"/>
      <c r="GUU1" s="434"/>
      <c r="GUV1" s="434"/>
      <c r="GUW1" s="434"/>
      <c r="GUX1" s="434"/>
      <c r="GUY1" s="434"/>
      <c r="GUZ1" s="434"/>
      <c r="GVA1" s="434"/>
      <c r="GVB1" s="434"/>
      <c r="GVC1" s="434"/>
      <c r="GVD1" s="434"/>
      <c r="GVE1" s="434"/>
      <c r="GVF1" s="434"/>
      <c r="GVG1" s="434"/>
      <c r="GVH1" s="434"/>
      <c r="GVI1" s="434"/>
      <c r="GVJ1" s="434"/>
      <c r="GVK1" s="434"/>
      <c r="GVL1" s="434"/>
      <c r="GVM1" s="434"/>
      <c r="GVN1" s="434"/>
      <c r="GVO1" s="434"/>
      <c r="GVP1" s="434"/>
      <c r="GVQ1" s="434"/>
      <c r="GVR1" s="434"/>
      <c r="GVS1" s="434"/>
      <c r="GVT1" s="434"/>
      <c r="GVU1" s="434"/>
      <c r="GVV1" s="434"/>
      <c r="GVW1" s="434"/>
      <c r="GVX1" s="434"/>
      <c r="GVY1" s="434"/>
      <c r="GVZ1" s="434"/>
      <c r="GWA1" s="434"/>
      <c r="GWB1" s="434"/>
      <c r="GWC1" s="434"/>
      <c r="GWD1" s="434"/>
      <c r="GWE1" s="434"/>
      <c r="GWF1" s="434"/>
      <c r="GWG1" s="434"/>
      <c r="GWH1" s="434"/>
      <c r="GWI1" s="434"/>
      <c r="GWJ1" s="434"/>
      <c r="GWK1" s="434"/>
      <c r="GWL1" s="434"/>
      <c r="GWM1" s="434"/>
      <c r="GWN1" s="434"/>
      <c r="GWO1" s="434"/>
      <c r="GWP1" s="434"/>
      <c r="GWQ1" s="434"/>
      <c r="GWR1" s="434"/>
      <c r="GWS1" s="434"/>
      <c r="GWT1" s="434"/>
      <c r="GWU1" s="434"/>
      <c r="GWV1" s="434"/>
      <c r="GWW1" s="434"/>
      <c r="GWX1" s="434"/>
      <c r="GWY1" s="434"/>
      <c r="GWZ1" s="434"/>
      <c r="GXA1" s="434"/>
      <c r="GXB1" s="434"/>
      <c r="GXC1" s="434"/>
      <c r="GXD1" s="434"/>
      <c r="GXE1" s="434"/>
      <c r="GXF1" s="434"/>
      <c r="GXG1" s="434"/>
      <c r="GXH1" s="434"/>
      <c r="GXI1" s="434"/>
      <c r="GXJ1" s="434"/>
      <c r="GXK1" s="434"/>
      <c r="GXL1" s="434"/>
      <c r="GXM1" s="434"/>
      <c r="GXN1" s="434"/>
      <c r="GXO1" s="434"/>
      <c r="GXP1" s="434"/>
      <c r="GXQ1" s="434"/>
      <c r="GXR1" s="434"/>
      <c r="GXS1" s="434"/>
      <c r="GXT1" s="434"/>
      <c r="GXU1" s="434"/>
      <c r="GXV1" s="434"/>
      <c r="GXW1" s="434"/>
      <c r="GXX1" s="434"/>
      <c r="GXY1" s="434"/>
      <c r="GXZ1" s="434"/>
      <c r="GYA1" s="434"/>
      <c r="GYB1" s="434"/>
      <c r="GYC1" s="434"/>
      <c r="GYD1" s="434"/>
      <c r="GYE1" s="434"/>
      <c r="GYF1" s="434"/>
      <c r="GYG1" s="434"/>
      <c r="GYH1" s="434"/>
      <c r="GYI1" s="434"/>
      <c r="GYJ1" s="434"/>
      <c r="GYK1" s="434"/>
      <c r="GYL1" s="434"/>
      <c r="GYM1" s="434"/>
      <c r="GYN1" s="434"/>
      <c r="GYO1" s="434"/>
      <c r="GYP1" s="434"/>
      <c r="GYQ1" s="434"/>
      <c r="GYR1" s="434"/>
      <c r="GYS1" s="434"/>
      <c r="GYT1" s="434"/>
      <c r="GYU1" s="434"/>
      <c r="GYV1" s="434"/>
      <c r="GYW1" s="434"/>
      <c r="GYX1" s="434"/>
      <c r="GYY1" s="434"/>
      <c r="GYZ1" s="434"/>
      <c r="GZA1" s="434"/>
      <c r="GZB1" s="434"/>
      <c r="GZC1" s="434"/>
      <c r="GZD1" s="434"/>
      <c r="GZE1" s="434"/>
      <c r="GZF1" s="434"/>
      <c r="GZG1" s="434"/>
      <c r="GZH1" s="434"/>
      <c r="GZI1" s="434"/>
      <c r="GZJ1" s="434"/>
      <c r="GZK1" s="434"/>
      <c r="GZL1" s="434"/>
      <c r="GZM1" s="434"/>
      <c r="GZN1" s="434"/>
      <c r="GZO1" s="434"/>
      <c r="GZP1" s="434"/>
      <c r="GZQ1" s="434"/>
      <c r="GZR1" s="434"/>
      <c r="GZS1" s="434"/>
      <c r="GZT1" s="434"/>
      <c r="GZU1" s="434"/>
      <c r="GZV1" s="434"/>
      <c r="GZW1" s="434"/>
      <c r="GZX1" s="434"/>
      <c r="GZY1" s="434"/>
      <c r="GZZ1" s="434"/>
      <c r="HAA1" s="434"/>
      <c r="HAB1" s="434"/>
      <c r="HAC1" s="434"/>
      <c r="HAD1" s="434"/>
      <c r="HAE1" s="434"/>
      <c r="HAF1" s="434"/>
      <c r="HAG1" s="434"/>
      <c r="HAH1" s="434"/>
      <c r="HAI1" s="434"/>
      <c r="HAJ1" s="434"/>
      <c r="HAK1" s="434"/>
      <c r="HAL1" s="434"/>
      <c r="HAM1" s="434"/>
      <c r="HAN1" s="434"/>
      <c r="HAO1" s="434"/>
      <c r="HAP1" s="434"/>
      <c r="HAQ1" s="434"/>
      <c r="HAR1" s="434"/>
      <c r="HAS1" s="434"/>
      <c r="HAT1" s="434"/>
      <c r="HAU1" s="434"/>
      <c r="HAV1" s="434"/>
      <c r="HAW1" s="434"/>
      <c r="HAX1" s="434"/>
      <c r="HAY1" s="434"/>
      <c r="HAZ1" s="434"/>
      <c r="HBA1" s="434"/>
      <c r="HBB1" s="434"/>
      <c r="HBC1" s="434"/>
      <c r="HBD1" s="434"/>
      <c r="HBE1" s="434"/>
      <c r="HBF1" s="434"/>
      <c r="HBG1" s="434"/>
      <c r="HBH1" s="434"/>
      <c r="HBI1" s="434"/>
      <c r="HBJ1" s="434"/>
      <c r="HBK1" s="434"/>
      <c r="HBL1" s="434"/>
      <c r="HBM1" s="434"/>
      <c r="HBN1" s="434"/>
      <c r="HBO1" s="434"/>
      <c r="HBP1" s="434"/>
      <c r="HBQ1" s="434"/>
      <c r="HBR1" s="434"/>
      <c r="HBS1" s="434"/>
      <c r="HBT1" s="434"/>
      <c r="HBU1" s="434"/>
      <c r="HBV1" s="434"/>
      <c r="HBW1" s="434"/>
      <c r="HBX1" s="434"/>
      <c r="HBY1" s="434"/>
      <c r="HBZ1" s="434"/>
      <c r="HCA1" s="434"/>
      <c r="HCB1" s="434"/>
      <c r="HCC1" s="434"/>
      <c r="HCD1" s="434"/>
      <c r="HCE1" s="434"/>
      <c r="HCF1" s="434"/>
      <c r="HCG1" s="434"/>
      <c r="HCH1" s="434"/>
      <c r="HCI1" s="434"/>
      <c r="HCJ1" s="434"/>
      <c r="HCK1" s="434"/>
      <c r="HCL1" s="434"/>
      <c r="HCM1" s="434"/>
      <c r="HCN1" s="434"/>
      <c r="HCO1" s="434"/>
      <c r="HCP1" s="434"/>
      <c r="HCQ1" s="434"/>
      <c r="HCR1" s="434"/>
      <c r="HCS1" s="434"/>
      <c r="HCT1" s="434"/>
      <c r="HCU1" s="434"/>
      <c r="HCV1" s="434"/>
      <c r="HCW1" s="434"/>
      <c r="HCX1" s="434"/>
      <c r="HCY1" s="434"/>
      <c r="HCZ1" s="434"/>
      <c r="HDA1" s="434"/>
      <c r="HDB1" s="434"/>
      <c r="HDC1" s="434"/>
      <c r="HDD1" s="434"/>
      <c r="HDE1" s="434"/>
      <c r="HDF1" s="434"/>
      <c r="HDG1" s="434"/>
      <c r="HDH1" s="434"/>
      <c r="HDI1" s="434"/>
      <c r="HDJ1" s="434"/>
      <c r="HDK1" s="434"/>
      <c r="HDL1" s="434"/>
      <c r="HDM1" s="434"/>
      <c r="HDN1" s="434"/>
      <c r="HDO1" s="434"/>
      <c r="HDP1" s="434"/>
      <c r="HDQ1" s="434"/>
      <c r="HDR1" s="434"/>
      <c r="HDS1" s="434"/>
      <c r="HDT1" s="434"/>
      <c r="HDU1" s="434"/>
      <c r="HDV1" s="434"/>
      <c r="HDW1" s="434"/>
      <c r="HDX1" s="434"/>
      <c r="HDY1" s="434"/>
      <c r="HDZ1" s="434"/>
      <c r="HEA1" s="434"/>
      <c r="HEB1" s="434"/>
      <c r="HEC1" s="434"/>
      <c r="HED1" s="434"/>
      <c r="HEE1" s="434"/>
      <c r="HEF1" s="434"/>
      <c r="HEG1" s="434"/>
      <c r="HEH1" s="434"/>
      <c r="HEI1" s="434"/>
      <c r="HEJ1" s="434"/>
      <c r="HEK1" s="434"/>
      <c r="HEL1" s="434"/>
      <c r="HEM1" s="434"/>
      <c r="HEN1" s="434"/>
      <c r="HEO1" s="434"/>
      <c r="HEP1" s="434"/>
      <c r="HEQ1" s="434"/>
      <c r="HER1" s="434"/>
      <c r="HES1" s="434"/>
      <c r="HET1" s="434"/>
      <c r="HEU1" s="434"/>
      <c r="HEV1" s="434"/>
      <c r="HEW1" s="434"/>
      <c r="HEX1" s="434"/>
      <c r="HEY1" s="434"/>
      <c r="HEZ1" s="434"/>
      <c r="HFA1" s="434"/>
      <c r="HFB1" s="434"/>
      <c r="HFC1" s="434"/>
      <c r="HFD1" s="434"/>
      <c r="HFE1" s="434"/>
      <c r="HFF1" s="434"/>
      <c r="HFG1" s="434"/>
      <c r="HFH1" s="434"/>
      <c r="HFI1" s="434"/>
      <c r="HFJ1" s="434"/>
      <c r="HFK1" s="434"/>
      <c r="HFL1" s="434"/>
      <c r="HFM1" s="434"/>
      <c r="HFN1" s="434"/>
      <c r="HFO1" s="434"/>
      <c r="HFP1" s="434"/>
      <c r="HFQ1" s="434"/>
      <c r="HFR1" s="434"/>
      <c r="HFS1" s="434"/>
      <c r="HFT1" s="434"/>
      <c r="HFU1" s="434"/>
      <c r="HFV1" s="434"/>
      <c r="HFW1" s="434"/>
      <c r="HFX1" s="434"/>
      <c r="HFY1" s="434"/>
      <c r="HFZ1" s="434"/>
      <c r="HGA1" s="434"/>
      <c r="HGB1" s="434"/>
      <c r="HGC1" s="434"/>
      <c r="HGD1" s="434"/>
      <c r="HGE1" s="434"/>
      <c r="HGF1" s="434"/>
      <c r="HGG1" s="434"/>
      <c r="HGH1" s="434"/>
      <c r="HGI1" s="434"/>
      <c r="HGJ1" s="434"/>
      <c r="HGK1" s="434"/>
      <c r="HGL1" s="434"/>
      <c r="HGM1" s="434"/>
      <c r="HGN1" s="434"/>
      <c r="HGO1" s="434"/>
      <c r="HGP1" s="434"/>
      <c r="HGQ1" s="434"/>
      <c r="HGR1" s="434"/>
      <c r="HGS1" s="434"/>
      <c r="HGT1" s="434"/>
      <c r="HGU1" s="434"/>
      <c r="HGV1" s="434"/>
      <c r="HGW1" s="434"/>
      <c r="HGX1" s="434"/>
      <c r="HGY1" s="434"/>
      <c r="HGZ1" s="434"/>
      <c r="HHA1" s="434"/>
      <c r="HHB1" s="434"/>
      <c r="HHC1" s="434"/>
      <c r="HHD1" s="434"/>
      <c r="HHE1" s="434"/>
      <c r="HHF1" s="434"/>
      <c r="HHG1" s="434"/>
      <c r="HHH1" s="434"/>
      <c r="HHI1" s="434"/>
      <c r="HHJ1" s="434"/>
      <c r="HHK1" s="434"/>
      <c r="HHL1" s="434"/>
      <c r="HHM1" s="434"/>
      <c r="HHN1" s="434"/>
      <c r="HHO1" s="434"/>
      <c r="HHP1" s="434"/>
      <c r="HHQ1" s="434"/>
      <c r="HHR1" s="434"/>
      <c r="HHS1" s="434"/>
      <c r="HHT1" s="434"/>
      <c r="HHU1" s="434"/>
      <c r="HHV1" s="434"/>
      <c r="HHW1" s="434"/>
      <c r="HHX1" s="434"/>
      <c r="HHY1" s="434"/>
      <c r="HHZ1" s="434"/>
      <c r="HIA1" s="434"/>
      <c r="HIB1" s="434"/>
      <c r="HIC1" s="434"/>
      <c r="HID1" s="434"/>
      <c r="HIE1" s="434"/>
      <c r="HIF1" s="434"/>
      <c r="HIG1" s="434"/>
      <c r="HIH1" s="434"/>
      <c r="HII1" s="434"/>
      <c r="HIJ1" s="434"/>
      <c r="HIK1" s="434"/>
      <c r="HIL1" s="434"/>
      <c r="HIM1" s="434"/>
      <c r="HIN1" s="434"/>
      <c r="HIO1" s="434"/>
      <c r="HIP1" s="434"/>
      <c r="HIQ1" s="434"/>
      <c r="HIR1" s="434"/>
      <c r="HIS1" s="434"/>
      <c r="HIT1" s="434"/>
      <c r="HIU1" s="434"/>
      <c r="HIV1" s="434"/>
      <c r="HIW1" s="434"/>
      <c r="HIX1" s="434"/>
      <c r="HIY1" s="434"/>
      <c r="HIZ1" s="434"/>
      <c r="HJA1" s="434"/>
      <c r="HJB1" s="434"/>
      <c r="HJC1" s="434"/>
      <c r="HJD1" s="434"/>
      <c r="HJE1" s="434"/>
      <c r="HJF1" s="434"/>
      <c r="HJG1" s="434"/>
      <c r="HJH1" s="434"/>
      <c r="HJI1" s="434"/>
      <c r="HJJ1" s="434"/>
      <c r="HJK1" s="434"/>
      <c r="HJL1" s="434"/>
      <c r="HJM1" s="434"/>
      <c r="HJN1" s="434"/>
      <c r="HJO1" s="434"/>
      <c r="HJP1" s="434"/>
      <c r="HJQ1" s="434"/>
      <c r="HJR1" s="434"/>
      <c r="HJS1" s="434"/>
      <c r="HJT1" s="434"/>
      <c r="HJU1" s="434"/>
      <c r="HJV1" s="434"/>
      <c r="HJW1" s="434"/>
      <c r="HJX1" s="434"/>
      <c r="HJY1" s="434"/>
      <c r="HJZ1" s="434"/>
      <c r="HKA1" s="434"/>
      <c r="HKB1" s="434"/>
      <c r="HKC1" s="434"/>
      <c r="HKD1" s="434"/>
      <c r="HKE1" s="434"/>
      <c r="HKF1" s="434"/>
      <c r="HKG1" s="434"/>
      <c r="HKH1" s="434"/>
      <c r="HKI1" s="434"/>
      <c r="HKJ1" s="434"/>
      <c r="HKK1" s="434"/>
      <c r="HKL1" s="434"/>
      <c r="HKM1" s="434"/>
      <c r="HKN1" s="434"/>
      <c r="HKO1" s="434"/>
      <c r="HKP1" s="434"/>
      <c r="HKQ1" s="434"/>
      <c r="HKR1" s="434"/>
      <c r="HKS1" s="434"/>
      <c r="HKT1" s="434"/>
      <c r="HKU1" s="434"/>
      <c r="HKV1" s="434"/>
      <c r="HKW1" s="434"/>
      <c r="HKX1" s="434"/>
      <c r="HKY1" s="434"/>
      <c r="HKZ1" s="434"/>
      <c r="HLA1" s="434"/>
      <c r="HLB1" s="434"/>
      <c r="HLC1" s="434"/>
      <c r="HLD1" s="434"/>
      <c r="HLE1" s="434"/>
      <c r="HLF1" s="434"/>
      <c r="HLG1" s="434"/>
      <c r="HLH1" s="434"/>
      <c r="HLI1" s="434"/>
      <c r="HLJ1" s="434"/>
      <c r="HLK1" s="434"/>
      <c r="HLL1" s="434"/>
      <c r="HLM1" s="434"/>
      <c r="HLN1" s="434"/>
      <c r="HLO1" s="434"/>
      <c r="HLP1" s="434"/>
      <c r="HLQ1" s="434"/>
      <c r="HLR1" s="434"/>
      <c r="HLS1" s="434"/>
      <c r="HLT1" s="434"/>
      <c r="HLU1" s="434"/>
      <c r="HLV1" s="434"/>
      <c r="HLW1" s="434"/>
      <c r="HLX1" s="434"/>
      <c r="HLY1" s="434"/>
      <c r="HLZ1" s="434"/>
      <c r="HMA1" s="434"/>
      <c r="HMB1" s="434"/>
      <c r="HMC1" s="434"/>
      <c r="HMD1" s="434"/>
      <c r="HME1" s="434"/>
      <c r="HMF1" s="434"/>
      <c r="HMG1" s="434"/>
      <c r="HMH1" s="434"/>
      <c r="HMI1" s="434"/>
      <c r="HMJ1" s="434"/>
      <c r="HMK1" s="434"/>
      <c r="HML1" s="434"/>
      <c r="HMM1" s="434"/>
      <c r="HMN1" s="434"/>
      <c r="HMO1" s="434"/>
      <c r="HMP1" s="434"/>
      <c r="HMQ1" s="434"/>
      <c r="HMR1" s="434"/>
      <c r="HMS1" s="434"/>
      <c r="HMT1" s="434"/>
      <c r="HMU1" s="434"/>
      <c r="HMV1" s="434"/>
      <c r="HMW1" s="434"/>
      <c r="HMX1" s="434"/>
      <c r="HMY1" s="434"/>
      <c r="HMZ1" s="434"/>
      <c r="HNA1" s="434"/>
      <c r="HNB1" s="434"/>
      <c r="HNC1" s="434"/>
      <c r="HND1" s="434"/>
      <c r="HNE1" s="434"/>
      <c r="HNF1" s="434"/>
      <c r="HNG1" s="434"/>
      <c r="HNH1" s="434"/>
      <c r="HNI1" s="434"/>
      <c r="HNJ1" s="434"/>
      <c r="HNK1" s="434"/>
      <c r="HNL1" s="434"/>
      <c r="HNM1" s="434"/>
      <c r="HNN1" s="434"/>
      <c r="HNO1" s="434"/>
      <c r="HNP1" s="434"/>
      <c r="HNQ1" s="434"/>
      <c r="HNR1" s="434"/>
      <c r="HNS1" s="434"/>
      <c r="HNT1" s="434"/>
      <c r="HNU1" s="434"/>
      <c r="HNV1" s="434"/>
      <c r="HNW1" s="434"/>
      <c r="HNX1" s="434"/>
      <c r="HNY1" s="434"/>
      <c r="HNZ1" s="434"/>
      <c r="HOA1" s="434"/>
      <c r="HOB1" s="434"/>
      <c r="HOC1" s="434"/>
      <c r="HOD1" s="434"/>
      <c r="HOE1" s="434"/>
      <c r="HOF1" s="434"/>
      <c r="HOG1" s="434"/>
      <c r="HOH1" s="434"/>
      <c r="HOI1" s="434"/>
      <c r="HOJ1" s="434"/>
      <c r="HOK1" s="434"/>
      <c r="HOL1" s="434"/>
      <c r="HOM1" s="434"/>
      <c r="HON1" s="434"/>
      <c r="HOO1" s="434"/>
      <c r="HOP1" s="434"/>
      <c r="HOQ1" s="434"/>
      <c r="HOR1" s="434"/>
      <c r="HOS1" s="434"/>
      <c r="HOT1" s="434"/>
      <c r="HOU1" s="434"/>
      <c r="HOV1" s="434"/>
      <c r="HOW1" s="434"/>
      <c r="HOX1" s="434"/>
      <c r="HOY1" s="434"/>
      <c r="HOZ1" s="434"/>
      <c r="HPA1" s="434"/>
      <c r="HPB1" s="434"/>
      <c r="HPC1" s="434"/>
      <c r="HPD1" s="434"/>
      <c r="HPE1" s="434"/>
      <c r="HPF1" s="434"/>
      <c r="HPG1" s="434"/>
      <c r="HPH1" s="434"/>
      <c r="HPI1" s="434"/>
      <c r="HPJ1" s="434"/>
      <c r="HPK1" s="434"/>
      <c r="HPL1" s="434"/>
      <c r="HPM1" s="434"/>
      <c r="HPN1" s="434"/>
      <c r="HPO1" s="434"/>
      <c r="HPP1" s="434"/>
      <c r="HPQ1" s="434"/>
      <c r="HPR1" s="434"/>
      <c r="HPS1" s="434"/>
      <c r="HPT1" s="434"/>
      <c r="HPU1" s="434"/>
      <c r="HPV1" s="434"/>
      <c r="HPW1" s="434"/>
      <c r="HPX1" s="434"/>
      <c r="HPY1" s="434"/>
      <c r="HPZ1" s="434"/>
      <c r="HQA1" s="434"/>
      <c r="HQB1" s="434"/>
      <c r="HQC1" s="434"/>
      <c r="HQD1" s="434"/>
      <c r="HQE1" s="434"/>
      <c r="HQF1" s="434"/>
      <c r="HQG1" s="434"/>
      <c r="HQH1" s="434"/>
      <c r="HQI1" s="434"/>
      <c r="HQJ1" s="434"/>
      <c r="HQK1" s="434"/>
      <c r="HQL1" s="434"/>
      <c r="HQM1" s="434"/>
      <c r="HQN1" s="434"/>
      <c r="HQO1" s="434"/>
      <c r="HQP1" s="434"/>
      <c r="HQQ1" s="434"/>
      <c r="HQR1" s="434"/>
      <c r="HQS1" s="434"/>
      <c r="HQT1" s="434"/>
      <c r="HQU1" s="434"/>
      <c r="HQV1" s="434"/>
      <c r="HQW1" s="434"/>
      <c r="HQX1" s="434"/>
      <c r="HQY1" s="434"/>
      <c r="HQZ1" s="434"/>
      <c r="HRA1" s="434"/>
      <c r="HRB1" s="434"/>
      <c r="HRC1" s="434"/>
      <c r="HRD1" s="434"/>
      <c r="HRE1" s="434"/>
      <c r="HRF1" s="434"/>
      <c r="HRG1" s="434"/>
      <c r="HRH1" s="434"/>
      <c r="HRI1" s="434"/>
      <c r="HRJ1" s="434"/>
      <c r="HRK1" s="434"/>
      <c r="HRL1" s="434"/>
      <c r="HRM1" s="434"/>
      <c r="HRN1" s="434"/>
      <c r="HRO1" s="434"/>
      <c r="HRP1" s="434"/>
      <c r="HRQ1" s="434"/>
      <c r="HRR1" s="434"/>
      <c r="HRS1" s="434"/>
      <c r="HRT1" s="434"/>
      <c r="HRU1" s="434"/>
      <c r="HRV1" s="434"/>
      <c r="HRW1" s="434"/>
      <c r="HRX1" s="434"/>
      <c r="HRY1" s="434"/>
      <c r="HRZ1" s="434"/>
      <c r="HSA1" s="434"/>
      <c r="HSB1" s="434"/>
      <c r="HSC1" s="434"/>
      <c r="HSD1" s="434"/>
      <c r="HSE1" s="434"/>
      <c r="HSF1" s="434"/>
      <c r="HSG1" s="434"/>
      <c r="HSH1" s="434"/>
      <c r="HSI1" s="434"/>
      <c r="HSJ1" s="434"/>
      <c r="HSK1" s="434"/>
      <c r="HSL1" s="434"/>
      <c r="HSM1" s="434"/>
      <c r="HSN1" s="434"/>
      <c r="HSO1" s="434"/>
      <c r="HSP1" s="434"/>
      <c r="HSQ1" s="434"/>
      <c r="HSR1" s="434"/>
      <c r="HSS1" s="434"/>
      <c r="HST1" s="434"/>
      <c r="HSU1" s="434"/>
      <c r="HSV1" s="434"/>
      <c r="HSW1" s="434"/>
      <c r="HSX1" s="434"/>
      <c r="HSY1" s="434"/>
      <c r="HSZ1" s="434"/>
      <c r="HTA1" s="434"/>
      <c r="HTB1" s="434"/>
      <c r="HTC1" s="434"/>
      <c r="HTD1" s="434"/>
      <c r="HTE1" s="434"/>
      <c r="HTF1" s="434"/>
      <c r="HTG1" s="434"/>
      <c r="HTH1" s="434"/>
      <c r="HTI1" s="434"/>
      <c r="HTJ1" s="434"/>
      <c r="HTK1" s="434"/>
      <c r="HTL1" s="434"/>
      <c r="HTM1" s="434"/>
      <c r="HTN1" s="434"/>
      <c r="HTO1" s="434"/>
      <c r="HTP1" s="434"/>
      <c r="HTQ1" s="434"/>
      <c r="HTR1" s="434"/>
      <c r="HTS1" s="434"/>
      <c r="HTT1" s="434"/>
      <c r="HTU1" s="434"/>
      <c r="HTV1" s="434"/>
      <c r="HTW1" s="434"/>
      <c r="HTX1" s="434"/>
      <c r="HTY1" s="434"/>
      <c r="HTZ1" s="434"/>
      <c r="HUA1" s="434"/>
      <c r="HUB1" s="434"/>
      <c r="HUC1" s="434"/>
      <c r="HUD1" s="434"/>
      <c r="HUE1" s="434"/>
      <c r="HUF1" s="434"/>
      <c r="HUG1" s="434"/>
      <c r="HUH1" s="434"/>
      <c r="HUI1" s="434"/>
      <c r="HUJ1" s="434"/>
      <c r="HUK1" s="434"/>
      <c r="HUL1" s="434"/>
      <c r="HUM1" s="434"/>
      <c r="HUN1" s="434"/>
      <c r="HUO1" s="434"/>
      <c r="HUP1" s="434"/>
      <c r="HUQ1" s="434"/>
      <c r="HUR1" s="434"/>
      <c r="HUS1" s="434"/>
      <c r="HUT1" s="434"/>
      <c r="HUU1" s="434"/>
      <c r="HUV1" s="434"/>
      <c r="HUW1" s="434"/>
      <c r="HUX1" s="434"/>
      <c r="HUY1" s="434"/>
      <c r="HUZ1" s="434"/>
      <c r="HVA1" s="434"/>
      <c r="HVB1" s="434"/>
      <c r="HVC1" s="434"/>
      <c r="HVD1" s="434"/>
      <c r="HVE1" s="434"/>
      <c r="HVF1" s="434"/>
      <c r="HVG1" s="434"/>
      <c r="HVH1" s="434"/>
      <c r="HVI1" s="434"/>
      <c r="HVJ1" s="434"/>
      <c r="HVK1" s="434"/>
      <c r="HVL1" s="434"/>
      <c r="HVM1" s="434"/>
      <c r="HVN1" s="434"/>
      <c r="HVO1" s="434"/>
      <c r="HVP1" s="434"/>
      <c r="HVQ1" s="434"/>
      <c r="HVR1" s="434"/>
      <c r="HVS1" s="434"/>
      <c r="HVT1" s="434"/>
      <c r="HVU1" s="434"/>
      <c r="HVV1" s="434"/>
      <c r="HVW1" s="434"/>
      <c r="HVX1" s="434"/>
      <c r="HVY1" s="434"/>
      <c r="HVZ1" s="434"/>
      <c r="HWA1" s="434"/>
      <c r="HWB1" s="434"/>
      <c r="HWC1" s="434"/>
      <c r="HWD1" s="434"/>
      <c r="HWE1" s="434"/>
      <c r="HWF1" s="434"/>
      <c r="HWG1" s="434"/>
      <c r="HWH1" s="434"/>
      <c r="HWI1" s="434"/>
      <c r="HWJ1" s="434"/>
      <c r="HWK1" s="434"/>
      <c r="HWL1" s="434"/>
      <c r="HWM1" s="434"/>
      <c r="HWN1" s="434"/>
      <c r="HWO1" s="434"/>
      <c r="HWP1" s="434"/>
      <c r="HWQ1" s="434"/>
      <c r="HWR1" s="434"/>
      <c r="HWS1" s="434"/>
      <c r="HWT1" s="434"/>
      <c r="HWU1" s="434"/>
      <c r="HWV1" s="434"/>
      <c r="HWW1" s="434"/>
      <c r="HWX1" s="434"/>
      <c r="HWY1" s="434"/>
      <c r="HWZ1" s="434"/>
      <c r="HXA1" s="434"/>
      <c r="HXB1" s="434"/>
      <c r="HXC1" s="434"/>
      <c r="HXD1" s="434"/>
      <c r="HXE1" s="434"/>
      <c r="HXF1" s="434"/>
      <c r="HXG1" s="434"/>
      <c r="HXH1" s="434"/>
      <c r="HXI1" s="434"/>
      <c r="HXJ1" s="434"/>
      <c r="HXK1" s="434"/>
      <c r="HXL1" s="434"/>
      <c r="HXM1" s="434"/>
      <c r="HXN1" s="434"/>
      <c r="HXO1" s="434"/>
      <c r="HXP1" s="434"/>
      <c r="HXQ1" s="434"/>
      <c r="HXR1" s="434"/>
      <c r="HXS1" s="434"/>
      <c r="HXT1" s="434"/>
      <c r="HXU1" s="434"/>
      <c r="HXV1" s="434"/>
      <c r="HXW1" s="434"/>
      <c r="HXX1" s="434"/>
      <c r="HXY1" s="434"/>
      <c r="HXZ1" s="434"/>
      <c r="HYA1" s="434"/>
      <c r="HYB1" s="434"/>
      <c r="HYC1" s="434"/>
      <c r="HYD1" s="434"/>
      <c r="HYE1" s="434"/>
      <c r="HYF1" s="434"/>
      <c r="HYG1" s="434"/>
      <c r="HYH1" s="434"/>
      <c r="HYI1" s="434"/>
      <c r="HYJ1" s="434"/>
      <c r="HYK1" s="434"/>
      <c r="HYL1" s="434"/>
      <c r="HYM1" s="434"/>
      <c r="HYN1" s="434"/>
      <c r="HYO1" s="434"/>
      <c r="HYP1" s="434"/>
      <c r="HYQ1" s="434"/>
      <c r="HYR1" s="434"/>
      <c r="HYS1" s="434"/>
      <c r="HYT1" s="434"/>
      <c r="HYU1" s="434"/>
      <c r="HYV1" s="434"/>
      <c r="HYW1" s="434"/>
      <c r="HYX1" s="434"/>
      <c r="HYY1" s="434"/>
      <c r="HYZ1" s="434"/>
      <c r="HZA1" s="434"/>
      <c r="HZB1" s="434"/>
      <c r="HZC1" s="434"/>
      <c r="HZD1" s="434"/>
      <c r="HZE1" s="434"/>
      <c r="HZF1" s="434"/>
      <c r="HZG1" s="434"/>
      <c r="HZH1" s="434"/>
      <c r="HZI1" s="434"/>
      <c r="HZJ1" s="434"/>
      <c r="HZK1" s="434"/>
      <c r="HZL1" s="434"/>
      <c r="HZM1" s="434"/>
      <c r="HZN1" s="434"/>
      <c r="HZO1" s="434"/>
      <c r="HZP1" s="434"/>
      <c r="HZQ1" s="434"/>
      <c r="HZR1" s="434"/>
      <c r="HZS1" s="434"/>
      <c r="HZT1" s="434"/>
      <c r="HZU1" s="434"/>
      <c r="HZV1" s="434"/>
      <c r="HZW1" s="434"/>
      <c r="HZX1" s="434"/>
      <c r="HZY1" s="434"/>
      <c r="HZZ1" s="434"/>
      <c r="IAA1" s="434"/>
      <c r="IAB1" s="434"/>
      <c r="IAC1" s="434"/>
      <c r="IAD1" s="434"/>
      <c r="IAE1" s="434"/>
      <c r="IAF1" s="434"/>
      <c r="IAG1" s="434"/>
      <c r="IAH1" s="434"/>
      <c r="IAI1" s="434"/>
      <c r="IAJ1" s="434"/>
      <c r="IAK1" s="434"/>
      <c r="IAL1" s="434"/>
      <c r="IAM1" s="434"/>
      <c r="IAN1" s="434"/>
      <c r="IAO1" s="434"/>
      <c r="IAP1" s="434"/>
      <c r="IAQ1" s="434"/>
      <c r="IAR1" s="434"/>
      <c r="IAS1" s="434"/>
      <c r="IAT1" s="434"/>
      <c r="IAU1" s="434"/>
      <c r="IAV1" s="434"/>
      <c r="IAW1" s="434"/>
      <c r="IAX1" s="434"/>
      <c r="IAY1" s="434"/>
      <c r="IAZ1" s="434"/>
      <c r="IBA1" s="434"/>
      <c r="IBB1" s="434"/>
      <c r="IBC1" s="434"/>
      <c r="IBD1" s="434"/>
      <c r="IBE1" s="434"/>
      <c r="IBF1" s="434"/>
      <c r="IBG1" s="434"/>
      <c r="IBH1" s="434"/>
      <c r="IBI1" s="434"/>
      <c r="IBJ1" s="434"/>
      <c r="IBK1" s="434"/>
      <c r="IBL1" s="434"/>
      <c r="IBM1" s="434"/>
      <c r="IBN1" s="434"/>
      <c r="IBO1" s="434"/>
      <c r="IBP1" s="434"/>
      <c r="IBQ1" s="434"/>
      <c r="IBR1" s="434"/>
      <c r="IBS1" s="434"/>
      <c r="IBT1" s="434"/>
      <c r="IBU1" s="434"/>
      <c r="IBV1" s="434"/>
      <c r="IBW1" s="434"/>
      <c r="IBX1" s="434"/>
      <c r="IBY1" s="434"/>
      <c r="IBZ1" s="434"/>
      <c r="ICA1" s="434"/>
      <c r="ICB1" s="434"/>
      <c r="ICC1" s="434"/>
      <c r="ICD1" s="434"/>
      <c r="ICE1" s="434"/>
      <c r="ICF1" s="434"/>
      <c r="ICG1" s="434"/>
      <c r="ICH1" s="434"/>
      <c r="ICI1" s="434"/>
      <c r="ICJ1" s="434"/>
      <c r="ICK1" s="434"/>
      <c r="ICL1" s="434"/>
      <c r="ICM1" s="434"/>
      <c r="ICN1" s="434"/>
      <c r="ICO1" s="434"/>
      <c r="ICP1" s="434"/>
      <c r="ICQ1" s="434"/>
      <c r="ICR1" s="434"/>
      <c r="ICS1" s="434"/>
      <c r="ICT1" s="434"/>
      <c r="ICU1" s="434"/>
      <c r="ICV1" s="434"/>
      <c r="ICW1" s="434"/>
      <c r="ICX1" s="434"/>
      <c r="ICY1" s="434"/>
      <c r="ICZ1" s="434"/>
      <c r="IDA1" s="434"/>
      <c r="IDB1" s="434"/>
      <c r="IDC1" s="434"/>
      <c r="IDD1" s="434"/>
      <c r="IDE1" s="434"/>
      <c r="IDF1" s="434"/>
      <c r="IDG1" s="434"/>
      <c r="IDH1" s="434"/>
      <c r="IDI1" s="434"/>
      <c r="IDJ1" s="434"/>
      <c r="IDK1" s="434"/>
      <c r="IDL1" s="434"/>
      <c r="IDM1" s="434"/>
      <c r="IDN1" s="434"/>
      <c r="IDO1" s="434"/>
      <c r="IDP1" s="434"/>
      <c r="IDQ1" s="434"/>
      <c r="IDR1" s="434"/>
      <c r="IDS1" s="434"/>
      <c r="IDT1" s="434"/>
      <c r="IDU1" s="434"/>
      <c r="IDV1" s="434"/>
      <c r="IDW1" s="434"/>
      <c r="IDX1" s="434"/>
      <c r="IDY1" s="434"/>
      <c r="IDZ1" s="434"/>
      <c r="IEA1" s="434"/>
      <c r="IEB1" s="434"/>
      <c r="IEC1" s="434"/>
      <c r="IED1" s="434"/>
      <c r="IEE1" s="434"/>
      <c r="IEF1" s="434"/>
      <c r="IEG1" s="434"/>
      <c r="IEH1" s="434"/>
      <c r="IEI1" s="434"/>
      <c r="IEJ1" s="434"/>
      <c r="IEK1" s="434"/>
      <c r="IEL1" s="434"/>
      <c r="IEM1" s="434"/>
      <c r="IEN1" s="434"/>
      <c r="IEO1" s="434"/>
      <c r="IEP1" s="434"/>
      <c r="IEQ1" s="434"/>
      <c r="IER1" s="434"/>
      <c r="IES1" s="434"/>
      <c r="IET1" s="434"/>
      <c r="IEU1" s="434"/>
      <c r="IEV1" s="434"/>
      <c r="IEW1" s="434"/>
      <c r="IEX1" s="434"/>
      <c r="IEY1" s="434"/>
      <c r="IEZ1" s="434"/>
      <c r="IFA1" s="434"/>
      <c r="IFB1" s="434"/>
      <c r="IFC1" s="434"/>
      <c r="IFD1" s="434"/>
      <c r="IFE1" s="434"/>
      <c r="IFF1" s="434"/>
      <c r="IFG1" s="434"/>
      <c r="IFH1" s="434"/>
      <c r="IFI1" s="434"/>
      <c r="IFJ1" s="434"/>
      <c r="IFK1" s="434"/>
      <c r="IFL1" s="434"/>
      <c r="IFM1" s="434"/>
      <c r="IFN1" s="434"/>
      <c r="IFO1" s="434"/>
      <c r="IFP1" s="434"/>
      <c r="IFQ1" s="434"/>
      <c r="IFR1" s="434"/>
      <c r="IFS1" s="434"/>
      <c r="IFT1" s="434"/>
      <c r="IFU1" s="434"/>
      <c r="IFV1" s="434"/>
      <c r="IFW1" s="434"/>
      <c r="IFX1" s="434"/>
      <c r="IFY1" s="434"/>
      <c r="IFZ1" s="434"/>
      <c r="IGA1" s="434"/>
      <c r="IGB1" s="434"/>
      <c r="IGC1" s="434"/>
      <c r="IGD1" s="434"/>
      <c r="IGE1" s="434"/>
      <c r="IGF1" s="434"/>
      <c r="IGG1" s="434"/>
      <c r="IGH1" s="434"/>
      <c r="IGI1" s="434"/>
      <c r="IGJ1" s="434"/>
      <c r="IGK1" s="434"/>
      <c r="IGL1" s="434"/>
      <c r="IGM1" s="434"/>
      <c r="IGN1" s="434"/>
      <c r="IGO1" s="434"/>
      <c r="IGP1" s="434"/>
      <c r="IGQ1" s="434"/>
      <c r="IGR1" s="434"/>
      <c r="IGS1" s="434"/>
      <c r="IGT1" s="434"/>
      <c r="IGU1" s="434"/>
      <c r="IGV1" s="434"/>
      <c r="IGW1" s="434"/>
      <c r="IGX1" s="434"/>
      <c r="IGY1" s="434"/>
      <c r="IGZ1" s="434"/>
      <c r="IHA1" s="434"/>
      <c r="IHB1" s="434"/>
      <c r="IHC1" s="434"/>
      <c r="IHD1" s="434"/>
      <c r="IHE1" s="434"/>
      <c r="IHF1" s="434"/>
      <c r="IHG1" s="434"/>
      <c r="IHH1" s="434"/>
      <c r="IHI1" s="434"/>
      <c r="IHJ1" s="434"/>
      <c r="IHK1" s="434"/>
      <c r="IHL1" s="434"/>
      <c r="IHM1" s="434"/>
      <c r="IHN1" s="434"/>
      <c r="IHO1" s="434"/>
      <c r="IHP1" s="434"/>
      <c r="IHQ1" s="434"/>
      <c r="IHR1" s="434"/>
      <c r="IHS1" s="434"/>
      <c r="IHT1" s="434"/>
      <c r="IHU1" s="434"/>
      <c r="IHV1" s="434"/>
      <c r="IHW1" s="434"/>
      <c r="IHX1" s="434"/>
      <c r="IHY1" s="434"/>
      <c r="IHZ1" s="434"/>
      <c r="IIA1" s="434"/>
      <c r="IIB1" s="434"/>
      <c r="IIC1" s="434"/>
      <c r="IID1" s="434"/>
      <c r="IIE1" s="434"/>
      <c r="IIF1" s="434"/>
      <c r="IIG1" s="434"/>
      <c r="IIH1" s="434"/>
      <c r="III1" s="434"/>
      <c r="IIJ1" s="434"/>
      <c r="IIK1" s="434"/>
      <c r="IIL1" s="434"/>
      <c r="IIM1" s="434"/>
      <c r="IIN1" s="434"/>
      <c r="IIO1" s="434"/>
      <c r="IIP1" s="434"/>
      <c r="IIQ1" s="434"/>
      <c r="IIR1" s="434"/>
      <c r="IIS1" s="434"/>
      <c r="IIT1" s="434"/>
      <c r="IIU1" s="434"/>
      <c r="IIV1" s="434"/>
      <c r="IIW1" s="434"/>
      <c r="IIX1" s="434"/>
      <c r="IIY1" s="434"/>
      <c r="IIZ1" s="434"/>
      <c r="IJA1" s="434"/>
      <c r="IJB1" s="434"/>
      <c r="IJC1" s="434"/>
      <c r="IJD1" s="434"/>
      <c r="IJE1" s="434"/>
      <c r="IJF1" s="434"/>
      <c r="IJG1" s="434"/>
      <c r="IJH1" s="434"/>
      <c r="IJI1" s="434"/>
      <c r="IJJ1" s="434"/>
      <c r="IJK1" s="434"/>
      <c r="IJL1" s="434"/>
      <c r="IJM1" s="434"/>
      <c r="IJN1" s="434"/>
      <c r="IJO1" s="434"/>
      <c r="IJP1" s="434"/>
      <c r="IJQ1" s="434"/>
      <c r="IJR1" s="434"/>
      <c r="IJS1" s="434"/>
      <c r="IJT1" s="434"/>
      <c r="IJU1" s="434"/>
      <c r="IJV1" s="434"/>
      <c r="IJW1" s="434"/>
      <c r="IJX1" s="434"/>
      <c r="IJY1" s="434"/>
      <c r="IJZ1" s="434"/>
      <c r="IKA1" s="434"/>
      <c r="IKB1" s="434"/>
      <c r="IKC1" s="434"/>
      <c r="IKD1" s="434"/>
      <c r="IKE1" s="434"/>
      <c r="IKF1" s="434"/>
      <c r="IKG1" s="434"/>
      <c r="IKH1" s="434"/>
      <c r="IKI1" s="434"/>
      <c r="IKJ1" s="434"/>
      <c r="IKK1" s="434"/>
      <c r="IKL1" s="434"/>
      <c r="IKM1" s="434"/>
      <c r="IKN1" s="434"/>
      <c r="IKO1" s="434"/>
      <c r="IKP1" s="434"/>
      <c r="IKQ1" s="434"/>
      <c r="IKR1" s="434"/>
      <c r="IKS1" s="434"/>
      <c r="IKT1" s="434"/>
      <c r="IKU1" s="434"/>
      <c r="IKV1" s="434"/>
      <c r="IKW1" s="434"/>
      <c r="IKX1" s="434"/>
      <c r="IKY1" s="434"/>
      <c r="IKZ1" s="434"/>
      <c r="ILA1" s="434"/>
      <c r="ILB1" s="434"/>
      <c r="ILC1" s="434"/>
      <c r="ILD1" s="434"/>
      <c r="ILE1" s="434"/>
      <c r="ILF1" s="434"/>
      <c r="ILG1" s="434"/>
      <c r="ILH1" s="434"/>
      <c r="ILI1" s="434"/>
      <c r="ILJ1" s="434"/>
      <c r="ILK1" s="434"/>
      <c r="ILL1" s="434"/>
      <c r="ILM1" s="434"/>
      <c r="ILN1" s="434"/>
      <c r="ILO1" s="434"/>
      <c r="ILP1" s="434"/>
      <c r="ILQ1" s="434"/>
      <c r="ILR1" s="434"/>
      <c r="ILS1" s="434"/>
      <c r="ILT1" s="434"/>
      <c r="ILU1" s="434"/>
      <c r="ILV1" s="434"/>
      <c r="ILW1" s="434"/>
      <c r="ILX1" s="434"/>
      <c r="ILY1" s="434"/>
      <c r="ILZ1" s="434"/>
      <c r="IMA1" s="434"/>
      <c r="IMB1" s="434"/>
      <c r="IMC1" s="434"/>
      <c r="IMD1" s="434"/>
      <c r="IME1" s="434"/>
      <c r="IMF1" s="434"/>
      <c r="IMG1" s="434"/>
      <c r="IMH1" s="434"/>
      <c r="IMI1" s="434"/>
      <c r="IMJ1" s="434"/>
      <c r="IMK1" s="434"/>
      <c r="IML1" s="434"/>
      <c r="IMM1" s="434"/>
      <c r="IMN1" s="434"/>
      <c r="IMO1" s="434"/>
      <c r="IMP1" s="434"/>
      <c r="IMQ1" s="434"/>
      <c r="IMR1" s="434"/>
      <c r="IMS1" s="434"/>
      <c r="IMT1" s="434"/>
      <c r="IMU1" s="434"/>
      <c r="IMV1" s="434"/>
      <c r="IMW1" s="434"/>
      <c r="IMX1" s="434"/>
      <c r="IMY1" s="434"/>
      <c r="IMZ1" s="434"/>
      <c r="INA1" s="434"/>
      <c r="INB1" s="434"/>
      <c r="INC1" s="434"/>
      <c r="IND1" s="434"/>
      <c r="INE1" s="434"/>
      <c r="INF1" s="434"/>
      <c r="ING1" s="434"/>
      <c r="INH1" s="434"/>
      <c r="INI1" s="434"/>
      <c r="INJ1" s="434"/>
      <c r="INK1" s="434"/>
      <c r="INL1" s="434"/>
      <c r="INM1" s="434"/>
      <c r="INN1" s="434"/>
      <c r="INO1" s="434"/>
      <c r="INP1" s="434"/>
      <c r="INQ1" s="434"/>
      <c r="INR1" s="434"/>
      <c r="INS1" s="434"/>
      <c r="INT1" s="434"/>
      <c r="INU1" s="434"/>
      <c r="INV1" s="434"/>
      <c r="INW1" s="434"/>
      <c r="INX1" s="434"/>
      <c r="INY1" s="434"/>
      <c r="INZ1" s="434"/>
      <c r="IOA1" s="434"/>
      <c r="IOB1" s="434"/>
      <c r="IOC1" s="434"/>
      <c r="IOD1" s="434"/>
      <c r="IOE1" s="434"/>
      <c r="IOF1" s="434"/>
      <c r="IOG1" s="434"/>
      <c r="IOH1" s="434"/>
      <c r="IOI1" s="434"/>
      <c r="IOJ1" s="434"/>
      <c r="IOK1" s="434"/>
      <c r="IOL1" s="434"/>
      <c r="IOM1" s="434"/>
      <c r="ION1" s="434"/>
      <c r="IOO1" s="434"/>
      <c r="IOP1" s="434"/>
      <c r="IOQ1" s="434"/>
      <c r="IOR1" s="434"/>
      <c r="IOS1" s="434"/>
      <c r="IOT1" s="434"/>
      <c r="IOU1" s="434"/>
      <c r="IOV1" s="434"/>
      <c r="IOW1" s="434"/>
      <c r="IOX1" s="434"/>
      <c r="IOY1" s="434"/>
      <c r="IOZ1" s="434"/>
      <c r="IPA1" s="434"/>
      <c r="IPB1" s="434"/>
      <c r="IPC1" s="434"/>
      <c r="IPD1" s="434"/>
      <c r="IPE1" s="434"/>
      <c r="IPF1" s="434"/>
      <c r="IPG1" s="434"/>
      <c r="IPH1" s="434"/>
      <c r="IPI1" s="434"/>
      <c r="IPJ1" s="434"/>
      <c r="IPK1" s="434"/>
      <c r="IPL1" s="434"/>
      <c r="IPM1" s="434"/>
      <c r="IPN1" s="434"/>
      <c r="IPO1" s="434"/>
      <c r="IPP1" s="434"/>
      <c r="IPQ1" s="434"/>
      <c r="IPR1" s="434"/>
      <c r="IPS1" s="434"/>
      <c r="IPT1" s="434"/>
      <c r="IPU1" s="434"/>
      <c r="IPV1" s="434"/>
      <c r="IPW1" s="434"/>
      <c r="IPX1" s="434"/>
      <c r="IPY1" s="434"/>
      <c r="IPZ1" s="434"/>
      <c r="IQA1" s="434"/>
      <c r="IQB1" s="434"/>
      <c r="IQC1" s="434"/>
      <c r="IQD1" s="434"/>
      <c r="IQE1" s="434"/>
      <c r="IQF1" s="434"/>
      <c r="IQG1" s="434"/>
      <c r="IQH1" s="434"/>
      <c r="IQI1" s="434"/>
      <c r="IQJ1" s="434"/>
      <c r="IQK1" s="434"/>
      <c r="IQL1" s="434"/>
      <c r="IQM1" s="434"/>
      <c r="IQN1" s="434"/>
      <c r="IQO1" s="434"/>
      <c r="IQP1" s="434"/>
      <c r="IQQ1" s="434"/>
      <c r="IQR1" s="434"/>
      <c r="IQS1" s="434"/>
      <c r="IQT1" s="434"/>
      <c r="IQU1" s="434"/>
      <c r="IQV1" s="434"/>
      <c r="IQW1" s="434"/>
      <c r="IQX1" s="434"/>
      <c r="IQY1" s="434"/>
      <c r="IQZ1" s="434"/>
      <c r="IRA1" s="434"/>
      <c r="IRB1" s="434"/>
      <c r="IRC1" s="434"/>
      <c r="IRD1" s="434"/>
      <c r="IRE1" s="434"/>
      <c r="IRF1" s="434"/>
      <c r="IRG1" s="434"/>
      <c r="IRH1" s="434"/>
      <c r="IRI1" s="434"/>
      <c r="IRJ1" s="434"/>
      <c r="IRK1" s="434"/>
      <c r="IRL1" s="434"/>
      <c r="IRM1" s="434"/>
      <c r="IRN1" s="434"/>
      <c r="IRO1" s="434"/>
      <c r="IRP1" s="434"/>
      <c r="IRQ1" s="434"/>
      <c r="IRR1" s="434"/>
      <c r="IRS1" s="434"/>
      <c r="IRT1" s="434"/>
      <c r="IRU1" s="434"/>
      <c r="IRV1" s="434"/>
      <c r="IRW1" s="434"/>
      <c r="IRX1" s="434"/>
      <c r="IRY1" s="434"/>
      <c r="IRZ1" s="434"/>
      <c r="ISA1" s="434"/>
      <c r="ISB1" s="434"/>
      <c r="ISC1" s="434"/>
      <c r="ISD1" s="434"/>
      <c r="ISE1" s="434"/>
      <c r="ISF1" s="434"/>
      <c r="ISG1" s="434"/>
      <c r="ISH1" s="434"/>
      <c r="ISI1" s="434"/>
      <c r="ISJ1" s="434"/>
      <c r="ISK1" s="434"/>
      <c r="ISL1" s="434"/>
      <c r="ISM1" s="434"/>
      <c r="ISN1" s="434"/>
      <c r="ISO1" s="434"/>
      <c r="ISP1" s="434"/>
      <c r="ISQ1" s="434"/>
      <c r="ISR1" s="434"/>
      <c r="ISS1" s="434"/>
      <c r="IST1" s="434"/>
      <c r="ISU1" s="434"/>
      <c r="ISV1" s="434"/>
      <c r="ISW1" s="434"/>
      <c r="ISX1" s="434"/>
      <c r="ISY1" s="434"/>
      <c r="ISZ1" s="434"/>
      <c r="ITA1" s="434"/>
      <c r="ITB1" s="434"/>
      <c r="ITC1" s="434"/>
      <c r="ITD1" s="434"/>
      <c r="ITE1" s="434"/>
      <c r="ITF1" s="434"/>
      <c r="ITG1" s="434"/>
      <c r="ITH1" s="434"/>
      <c r="ITI1" s="434"/>
      <c r="ITJ1" s="434"/>
      <c r="ITK1" s="434"/>
      <c r="ITL1" s="434"/>
      <c r="ITM1" s="434"/>
      <c r="ITN1" s="434"/>
      <c r="ITO1" s="434"/>
      <c r="ITP1" s="434"/>
      <c r="ITQ1" s="434"/>
      <c r="ITR1" s="434"/>
      <c r="ITS1" s="434"/>
      <c r="ITT1" s="434"/>
      <c r="ITU1" s="434"/>
      <c r="ITV1" s="434"/>
      <c r="ITW1" s="434"/>
      <c r="ITX1" s="434"/>
      <c r="ITY1" s="434"/>
      <c r="ITZ1" s="434"/>
      <c r="IUA1" s="434"/>
      <c r="IUB1" s="434"/>
      <c r="IUC1" s="434"/>
      <c r="IUD1" s="434"/>
      <c r="IUE1" s="434"/>
      <c r="IUF1" s="434"/>
      <c r="IUG1" s="434"/>
      <c r="IUH1" s="434"/>
      <c r="IUI1" s="434"/>
      <c r="IUJ1" s="434"/>
      <c r="IUK1" s="434"/>
      <c r="IUL1" s="434"/>
      <c r="IUM1" s="434"/>
      <c r="IUN1" s="434"/>
      <c r="IUO1" s="434"/>
      <c r="IUP1" s="434"/>
      <c r="IUQ1" s="434"/>
      <c r="IUR1" s="434"/>
      <c r="IUS1" s="434"/>
      <c r="IUT1" s="434"/>
      <c r="IUU1" s="434"/>
      <c r="IUV1" s="434"/>
      <c r="IUW1" s="434"/>
      <c r="IUX1" s="434"/>
      <c r="IUY1" s="434"/>
      <c r="IUZ1" s="434"/>
      <c r="IVA1" s="434"/>
      <c r="IVB1" s="434"/>
      <c r="IVC1" s="434"/>
      <c r="IVD1" s="434"/>
      <c r="IVE1" s="434"/>
      <c r="IVF1" s="434"/>
      <c r="IVG1" s="434"/>
      <c r="IVH1" s="434"/>
      <c r="IVI1" s="434"/>
      <c r="IVJ1" s="434"/>
      <c r="IVK1" s="434"/>
      <c r="IVL1" s="434"/>
      <c r="IVM1" s="434"/>
      <c r="IVN1" s="434"/>
      <c r="IVO1" s="434"/>
      <c r="IVP1" s="434"/>
      <c r="IVQ1" s="434"/>
      <c r="IVR1" s="434"/>
      <c r="IVS1" s="434"/>
      <c r="IVT1" s="434"/>
      <c r="IVU1" s="434"/>
      <c r="IVV1" s="434"/>
      <c r="IVW1" s="434"/>
      <c r="IVX1" s="434"/>
      <c r="IVY1" s="434"/>
      <c r="IVZ1" s="434"/>
      <c r="IWA1" s="434"/>
      <c r="IWB1" s="434"/>
      <c r="IWC1" s="434"/>
      <c r="IWD1" s="434"/>
      <c r="IWE1" s="434"/>
      <c r="IWF1" s="434"/>
      <c r="IWG1" s="434"/>
      <c r="IWH1" s="434"/>
      <c r="IWI1" s="434"/>
      <c r="IWJ1" s="434"/>
      <c r="IWK1" s="434"/>
      <c r="IWL1" s="434"/>
      <c r="IWM1" s="434"/>
      <c r="IWN1" s="434"/>
      <c r="IWO1" s="434"/>
      <c r="IWP1" s="434"/>
      <c r="IWQ1" s="434"/>
      <c r="IWR1" s="434"/>
      <c r="IWS1" s="434"/>
      <c r="IWT1" s="434"/>
      <c r="IWU1" s="434"/>
      <c r="IWV1" s="434"/>
      <c r="IWW1" s="434"/>
      <c r="IWX1" s="434"/>
      <c r="IWY1" s="434"/>
      <c r="IWZ1" s="434"/>
      <c r="IXA1" s="434"/>
      <c r="IXB1" s="434"/>
      <c r="IXC1" s="434"/>
      <c r="IXD1" s="434"/>
      <c r="IXE1" s="434"/>
      <c r="IXF1" s="434"/>
      <c r="IXG1" s="434"/>
      <c r="IXH1" s="434"/>
      <c r="IXI1" s="434"/>
      <c r="IXJ1" s="434"/>
      <c r="IXK1" s="434"/>
      <c r="IXL1" s="434"/>
      <c r="IXM1" s="434"/>
      <c r="IXN1" s="434"/>
      <c r="IXO1" s="434"/>
      <c r="IXP1" s="434"/>
      <c r="IXQ1" s="434"/>
      <c r="IXR1" s="434"/>
      <c r="IXS1" s="434"/>
      <c r="IXT1" s="434"/>
      <c r="IXU1" s="434"/>
      <c r="IXV1" s="434"/>
      <c r="IXW1" s="434"/>
      <c r="IXX1" s="434"/>
      <c r="IXY1" s="434"/>
      <c r="IXZ1" s="434"/>
      <c r="IYA1" s="434"/>
      <c r="IYB1" s="434"/>
      <c r="IYC1" s="434"/>
      <c r="IYD1" s="434"/>
      <c r="IYE1" s="434"/>
      <c r="IYF1" s="434"/>
      <c r="IYG1" s="434"/>
      <c r="IYH1" s="434"/>
      <c r="IYI1" s="434"/>
      <c r="IYJ1" s="434"/>
      <c r="IYK1" s="434"/>
      <c r="IYL1" s="434"/>
      <c r="IYM1" s="434"/>
      <c r="IYN1" s="434"/>
      <c r="IYO1" s="434"/>
      <c r="IYP1" s="434"/>
      <c r="IYQ1" s="434"/>
      <c r="IYR1" s="434"/>
      <c r="IYS1" s="434"/>
      <c r="IYT1" s="434"/>
      <c r="IYU1" s="434"/>
      <c r="IYV1" s="434"/>
      <c r="IYW1" s="434"/>
      <c r="IYX1" s="434"/>
      <c r="IYY1" s="434"/>
      <c r="IYZ1" s="434"/>
      <c r="IZA1" s="434"/>
      <c r="IZB1" s="434"/>
      <c r="IZC1" s="434"/>
      <c r="IZD1" s="434"/>
      <c r="IZE1" s="434"/>
      <c r="IZF1" s="434"/>
      <c r="IZG1" s="434"/>
      <c r="IZH1" s="434"/>
      <c r="IZI1" s="434"/>
      <c r="IZJ1" s="434"/>
      <c r="IZK1" s="434"/>
      <c r="IZL1" s="434"/>
      <c r="IZM1" s="434"/>
      <c r="IZN1" s="434"/>
      <c r="IZO1" s="434"/>
      <c r="IZP1" s="434"/>
      <c r="IZQ1" s="434"/>
      <c r="IZR1" s="434"/>
      <c r="IZS1" s="434"/>
      <c r="IZT1" s="434"/>
      <c r="IZU1" s="434"/>
      <c r="IZV1" s="434"/>
      <c r="IZW1" s="434"/>
      <c r="IZX1" s="434"/>
      <c r="IZY1" s="434"/>
      <c r="IZZ1" s="434"/>
      <c r="JAA1" s="434"/>
      <c r="JAB1" s="434"/>
      <c r="JAC1" s="434"/>
      <c r="JAD1" s="434"/>
      <c r="JAE1" s="434"/>
      <c r="JAF1" s="434"/>
      <c r="JAG1" s="434"/>
      <c r="JAH1" s="434"/>
      <c r="JAI1" s="434"/>
      <c r="JAJ1" s="434"/>
      <c r="JAK1" s="434"/>
      <c r="JAL1" s="434"/>
      <c r="JAM1" s="434"/>
      <c r="JAN1" s="434"/>
      <c r="JAO1" s="434"/>
      <c r="JAP1" s="434"/>
      <c r="JAQ1" s="434"/>
      <c r="JAR1" s="434"/>
      <c r="JAS1" s="434"/>
      <c r="JAT1" s="434"/>
      <c r="JAU1" s="434"/>
      <c r="JAV1" s="434"/>
      <c r="JAW1" s="434"/>
      <c r="JAX1" s="434"/>
      <c r="JAY1" s="434"/>
      <c r="JAZ1" s="434"/>
      <c r="JBA1" s="434"/>
      <c r="JBB1" s="434"/>
      <c r="JBC1" s="434"/>
      <c r="JBD1" s="434"/>
      <c r="JBE1" s="434"/>
      <c r="JBF1" s="434"/>
      <c r="JBG1" s="434"/>
      <c r="JBH1" s="434"/>
      <c r="JBI1" s="434"/>
      <c r="JBJ1" s="434"/>
      <c r="JBK1" s="434"/>
      <c r="JBL1" s="434"/>
      <c r="JBM1" s="434"/>
      <c r="JBN1" s="434"/>
      <c r="JBO1" s="434"/>
      <c r="JBP1" s="434"/>
      <c r="JBQ1" s="434"/>
      <c r="JBR1" s="434"/>
      <c r="JBS1" s="434"/>
      <c r="JBT1" s="434"/>
      <c r="JBU1" s="434"/>
      <c r="JBV1" s="434"/>
      <c r="JBW1" s="434"/>
      <c r="JBX1" s="434"/>
      <c r="JBY1" s="434"/>
      <c r="JBZ1" s="434"/>
      <c r="JCA1" s="434"/>
      <c r="JCB1" s="434"/>
      <c r="JCC1" s="434"/>
      <c r="JCD1" s="434"/>
      <c r="JCE1" s="434"/>
      <c r="JCF1" s="434"/>
      <c r="JCG1" s="434"/>
      <c r="JCH1" s="434"/>
      <c r="JCI1" s="434"/>
      <c r="JCJ1" s="434"/>
      <c r="JCK1" s="434"/>
      <c r="JCL1" s="434"/>
      <c r="JCM1" s="434"/>
      <c r="JCN1" s="434"/>
      <c r="JCO1" s="434"/>
      <c r="JCP1" s="434"/>
      <c r="JCQ1" s="434"/>
      <c r="JCR1" s="434"/>
      <c r="JCS1" s="434"/>
      <c r="JCT1" s="434"/>
      <c r="JCU1" s="434"/>
      <c r="JCV1" s="434"/>
      <c r="JCW1" s="434"/>
      <c r="JCX1" s="434"/>
      <c r="JCY1" s="434"/>
      <c r="JCZ1" s="434"/>
      <c r="JDA1" s="434"/>
      <c r="JDB1" s="434"/>
      <c r="JDC1" s="434"/>
      <c r="JDD1" s="434"/>
      <c r="JDE1" s="434"/>
      <c r="JDF1" s="434"/>
      <c r="JDG1" s="434"/>
      <c r="JDH1" s="434"/>
      <c r="JDI1" s="434"/>
      <c r="JDJ1" s="434"/>
      <c r="JDK1" s="434"/>
      <c r="JDL1" s="434"/>
      <c r="JDM1" s="434"/>
      <c r="JDN1" s="434"/>
      <c r="JDO1" s="434"/>
      <c r="JDP1" s="434"/>
      <c r="JDQ1" s="434"/>
      <c r="JDR1" s="434"/>
      <c r="JDS1" s="434"/>
      <c r="JDT1" s="434"/>
      <c r="JDU1" s="434"/>
      <c r="JDV1" s="434"/>
      <c r="JDW1" s="434"/>
      <c r="JDX1" s="434"/>
      <c r="JDY1" s="434"/>
      <c r="JDZ1" s="434"/>
      <c r="JEA1" s="434"/>
      <c r="JEB1" s="434"/>
      <c r="JEC1" s="434"/>
      <c r="JED1" s="434"/>
      <c r="JEE1" s="434"/>
      <c r="JEF1" s="434"/>
      <c r="JEG1" s="434"/>
      <c r="JEH1" s="434"/>
      <c r="JEI1" s="434"/>
      <c r="JEJ1" s="434"/>
      <c r="JEK1" s="434"/>
      <c r="JEL1" s="434"/>
      <c r="JEM1" s="434"/>
      <c r="JEN1" s="434"/>
      <c r="JEO1" s="434"/>
      <c r="JEP1" s="434"/>
      <c r="JEQ1" s="434"/>
      <c r="JER1" s="434"/>
      <c r="JES1" s="434"/>
      <c r="JET1" s="434"/>
      <c r="JEU1" s="434"/>
      <c r="JEV1" s="434"/>
      <c r="JEW1" s="434"/>
      <c r="JEX1" s="434"/>
      <c r="JEY1" s="434"/>
      <c r="JEZ1" s="434"/>
      <c r="JFA1" s="434"/>
      <c r="JFB1" s="434"/>
      <c r="JFC1" s="434"/>
      <c r="JFD1" s="434"/>
      <c r="JFE1" s="434"/>
      <c r="JFF1" s="434"/>
      <c r="JFG1" s="434"/>
      <c r="JFH1" s="434"/>
      <c r="JFI1" s="434"/>
      <c r="JFJ1" s="434"/>
      <c r="JFK1" s="434"/>
      <c r="JFL1" s="434"/>
      <c r="JFM1" s="434"/>
      <c r="JFN1" s="434"/>
      <c r="JFO1" s="434"/>
      <c r="JFP1" s="434"/>
      <c r="JFQ1" s="434"/>
      <c r="JFR1" s="434"/>
      <c r="JFS1" s="434"/>
      <c r="JFT1" s="434"/>
      <c r="JFU1" s="434"/>
      <c r="JFV1" s="434"/>
      <c r="JFW1" s="434"/>
      <c r="JFX1" s="434"/>
      <c r="JFY1" s="434"/>
      <c r="JFZ1" s="434"/>
      <c r="JGA1" s="434"/>
      <c r="JGB1" s="434"/>
      <c r="JGC1" s="434"/>
      <c r="JGD1" s="434"/>
      <c r="JGE1" s="434"/>
      <c r="JGF1" s="434"/>
      <c r="JGG1" s="434"/>
      <c r="JGH1" s="434"/>
      <c r="JGI1" s="434"/>
      <c r="JGJ1" s="434"/>
      <c r="JGK1" s="434"/>
      <c r="JGL1" s="434"/>
      <c r="JGM1" s="434"/>
      <c r="JGN1" s="434"/>
      <c r="JGO1" s="434"/>
      <c r="JGP1" s="434"/>
      <c r="JGQ1" s="434"/>
      <c r="JGR1" s="434"/>
      <c r="JGS1" s="434"/>
      <c r="JGT1" s="434"/>
      <c r="JGU1" s="434"/>
      <c r="JGV1" s="434"/>
      <c r="JGW1" s="434"/>
      <c r="JGX1" s="434"/>
      <c r="JGY1" s="434"/>
      <c r="JGZ1" s="434"/>
      <c r="JHA1" s="434"/>
      <c r="JHB1" s="434"/>
      <c r="JHC1" s="434"/>
      <c r="JHD1" s="434"/>
      <c r="JHE1" s="434"/>
      <c r="JHF1" s="434"/>
      <c r="JHG1" s="434"/>
      <c r="JHH1" s="434"/>
      <c r="JHI1" s="434"/>
      <c r="JHJ1" s="434"/>
      <c r="JHK1" s="434"/>
      <c r="JHL1" s="434"/>
      <c r="JHM1" s="434"/>
      <c r="JHN1" s="434"/>
      <c r="JHO1" s="434"/>
      <c r="JHP1" s="434"/>
      <c r="JHQ1" s="434"/>
      <c r="JHR1" s="434"/>
      <c r="JHS1" s="434"/>
      <c r="JHT1" s="434"/>
      <c r="JHU1" s="434"/>
      <c r="JHV1" s="434"/>
      <c r="JHW1" s="434"/>
      <c r="JHX1" s="434"/>
      <c r="JHY1" s="434"/>
      <c r="JHZ1" s="434"/>
      <c r="JIA1" s="434"/>
      <c r="JIB1" s="434"/>
      <c r="JIC1" s="434"/>
      <c r="JID1" s="434"/>
      <c r="JIE1" s="434"/>
      <c r="JIF1" s="434"/>
      <c r="JIG1" s="434"/>
      <c r="JIH1" s="434"/>
      <c r="JII1" s="434"/>
      <c r="JIJ1" s="434"/>
      <c r="JIK1" s="434"/>
      <c r="JIL1" s="434"/>
      <c r="JIM1" s="434"/>
      <c r="JIN1" s="434"/>
      <c r="JIO1" s="434"/>
      <c r="JIP1" s="434"/>
      <c r="JIQ1" s="434"/>
      <c r="JIR1" s="434"/>
      <c r="JIS1" s="434"/>
      <c r="JIT1" s="434"/>
      <c r="JIU1" s="434"/>
      <c r="JIV1" s="434"/>
      <c r="JIW1" s="434"/>
      <c r="JIX1" s="434"/>
      <c r="JIY1" s="434"/>
      <c r="JIZ1" s="434"/>
      <c r="JJA1" s="434"/>
      <c r="JJB1" s="434"/>
      <c r="JJC1" s="434"/>
      <c r="JJD1" s="434"/>
      <c r="JJE1" s="434"/>
      <c r="JJF1" s="434"/>
      <c r="JJG1" s="434"/>
      <c r="JJH1" s="434"/>
      <c r="JJI1" s="434"/>
      <c r="JJJ1" s="434"/>
      <c r="JJK1" s="434"/>
      <c r="JJL1" s="434"/>
      <c r="JJM1" s="434"/>
      <c r="JJN1" s="434"/>
      <c r="JJO1" s="434"/>
      <c r="JJP1" s="434"/>
      <c r="JJQ1" s="434"/>
      <c r="JJR1" s="434"/>
      <c r="JJS1" s="434"/>
      <c r="JJT1" s="434"/>
      <c r="JJU1" s="434"/>
      <c r="JJV1" s="434"/>
      <c r="JJW1" s="434"/>
      <c r="JJX1" s="434"/>
      <c r="JJY1" s="434"/>
      <c r="JJZ1" s="434"/>
      <c r="JKA1" s="434"/>
      <c r="JKB1" s="434"/>
      <c r="JKC1" s="434"/>
      <c r="JKD1" s="434"/>
      <c r="JKE1" s="434"/>
      <c r="JKF1" s="434"/>
      <c r="JKG1" s="434"/>
      <c r="JKH1" s="434"/>
      <c r="JKI1" s="434"/>
      <c r="JKJ1" s="434"/>
      <c r="JKK1" s="434"/>
      <c r="JKL1" s="434"/>
      <c r="JKM1" s="434"/>
      <c r="JKN1" s="434"/>
      <c r="JKO1" s="434"/>
      <c r="JKP1" s="434"/>
      <c r="JKQ1" s="434"/>
      <c r="JKR1" s="434"/>
      <c r="JKS1" s="434"/>
      <c r="JKT1" s="434"/>
      <c r="JKU1" s="434"/>
      <c r="JKV1" s="434"/>
      <c r="JKW1" s="434"/>
      <c r="JKX1" s="434"/>
      <c r="JKY1" s="434"/>
      <c r="JKZ1" s="434"/>
      <c r="JLA1" s="434"/>
      <c r="JLB1" s="434"/>
      <c r="JLC1" s="434"/>
      <c r="JLD1" s="434"/>
      <c r="JLE1" s="434"/>
      <c r="JLF1" s="434"/>
      <c r="JLG1" s="434"/>
      <c r="JLH1" s="434"/>
      <c r="JLI1" s="434"/>
      <c r="JLJ1" s="434"/>
      <c r="JLK1" s="434"/>
      <c r="JLL1" s="434"/>
      <c r="JLM1" s="434"/>
      <c r="JLN1" s="434"/>
      <c r="JLO1" s="434"/>
      <c r="JLP1" s="434"/>
      <c r="JLQ1" s="434"/>
      <c r="JLR1" s="434"/>
      <c r="JLS1" s="434"/>
      <c r="JLT1" s="434"/>
      <c r="JLU1" s="434"/>
      <c r="JLV1" s="434"/>
      <c r="JLW1" s="434"/>
      <c r="JLX1" s="434"/>
      <c r="JLY1" s="434"/>
      <c r="JLZ1" s="434"/>
      <c r="JMA1" s="434"/>
      <c r="JMB1" s="434"/>
      <c r="JMC1" s="434"/>
      <c r="JMD1" s="434"/>
      <c r="JME1" s="434"/>
      <c r="JMF1" s="434"/>
      <c r="JMG1" s="434"/>
      <c r="JMH1" s="434"/>
      <c r="JMI1" s="434"/>
      <c r="JMJ1" s="434"/>
      <c r="JMK1" s="434"/>
      <c r="JML1" s="434"/>
      <c r="JMM1" s="434"/>
      <c r="JMN1" s="434"/>
      <c r="JMO1" s="434"/>
      <c r="JMP1" s="434"/>
      <c r="JMQ1" s="434"/>
      <c r="JMR1" s="434"/>
      <c r="JMS1" s="434"/>
      <c r="JMT1" s="434"/>
      <c r="JMU1" s="434"/>
      <c r="JMV1" s="434"/>
      <c r="JMW1" s="434"/>
      <c r="JMX1" s="434"/>
      <c r="JMY1" s="434"/>
      <c r="JMZ1" s="434"/>
      <c r="JNA1" s="434"/>
      <c r="JNB1" s="434"/>
      <c r="JNC1" s="434"/>
      <c r="JND1" s="434"/>
      <c r="JNE1" s="434"/>
      <c r="JNF1" s="434"/>
      <c r="JNG1" s="434"/>
      <c r="JNH1" s="434"/>
      <c r="JNI1" s="434"/>
      <c r="JNJ1" s="434"/>
      <c r="JNK1" s="434"/>
      <c r="JNL1" s="434"/>
      <c r="JNM1" s="434"/>
      <c r="JNN1" s="434"/>
      <c r="JNO1" s="434"/>
      <c r="JNP1" s="434"/>
      <c r="JNQ1" s="434"/>
      <c r="JNR1" s="434"/>
      <c r="JNS1" s="434"/>
      <c r="JNT1" s="434"/>
      <c r="JNU1" s="434"/>
      <c r="JNV1" s="434"/>
      <c r="JNW1" s="434"/>
      <c r="JNX1" s="434"/>
      <c r="JNY1" s="434"/>
      <c r="JNZ1" s="434"/>
      <c r="JOA1" s="434"/>
      <c r="JOB1" s="434"/>
      <c r="JOC1" s="434"/>
      <c r="JOD1" s="434"/>
      <c r="JOE1" s="434"/>
      <c r="JOF1" s="434"/>
      <c r="JOG1" s="434"/>
      <c r="JOH1" s="434"/>
      <c r="JOI1" s="434"/>
      <c r="JOJ1" s="434"/>
      <c r="JOK1" s="434"/>
      <c r="JOL1" s="434"/>
      <c r="JOM1" s="434"/>
      <c r="JON1" s="434"/>
      <c r="JOO1" s="434"/>
      <c r="JOP1" s="434"/>
      <c r="JOQ1" s="434"/>
      <c r="JOR1" s="434"/>
      <c r="JOS1" s="434"/>
      <c r="JOT1" s="434"/>
      <c r="JOU1" s="434"/>
      <c r="JOV1" s="434"/>
      <c r="JOW1" s="434"/>
      <c r="JOX1" s="434"/>
      <c r="JOY1" s="434"/>
      <c r="JOZ1" s="434"/>
      <c r="JPA1" s="434"/>
      <c r="JPB1" s="434"/>
      <c r="JPC1" s="434"/>
      <c r="JPD1" s="434"/>
      <c r="JPE1" s="434"/>
      <c r="JPF1" s="434"/>
      <c r="JPG1" s="434"/>
      <c r="JPH1" s="434"/>
      <c r="JPI1" s="434"/>
      <c r="JPJ1" s="434"/>
      <c r="JPK1" s="434"/>
      <c r="JPL1" s="434"/>
      <c r="JPM1" s="434"/>
      <c r="JPN1" s="434"/>
      <c r="JPO1" s="434"/>
      <c r="JPP1" s="434"/>
      <c r="JPQ1" s="434"/>
      <c r="JPR1" s="434"/>
      <c r="JPS1" s="434"/>
      <c r="JPT1" s="434"/>
      <c r="JPU1" s="434"/>
      <c r="JPV1" s="434"/>
      <c r="JPW1" s="434"/>
      <c r="JPX1" s="434"/>
      <c r="JPY1" s="434"/>
      <c r="JPZ1" s="434"/>
      <c r="JQA1" s="434"/>
      <c r="JQB1" s="434"/>
      <c r="JQC1" s="434"/>
      <c r="JQD1" s="434"/>
      <c r="JQE1" s="434"/>
      <c r="JQF1" s="434"/>
      <c r="JQG1" s="434"/>
      <c r="JQH1" s="434"/>
      <c r="JQI1" s="434"/>
      <c r="JQJ1" s="434"/>
      <c r="JQK1" s="434"/>
      <c r="JQL1" s="434"/>
      <c r="JQM1" s="434"/>
      <c r="JQN1" s="434"/>
      <c r="JQO1" s="434"/>
      <c r="JQP1" s="434"/>
      <c r="JQQ1" s="434"/>
      <c r="JQR1" s="434"/>
      <c r="JQS1" s="434"/>
      <c r="JQT1" s="434"/>
      <c r="JQU1" s="434"/>
      <c r="JQV1" s="434"/>
      <c r="JQW1" s="434"/>
      <c r="JQX1" s="434"/>
      <c r="JQY1" s="434"/>
      <c r="JQZ1" s="434"/>
      <c r="JRA1" s="434"/>
      <c r="JRB1" s="434"/>
      <c r="JRC1" s="434"/>
      <c r="JRD1" s="434"/>
      <c r="JRE1" s="434"/>
      <c r="JRF1" s="434"/>
      <c r="JRG1" s="434"/>
      <c r="JRH1" s="434"/>
      <c r="JRI1" s="434"/>
      <c r="JRJ1" s="434"/>
      <c r="JRK1" s="434"/>
      <c r="JRL1" s="434"/>
      <c r="JRM1" s="434"/>
      <c r="JRN1" s="434"/>
      <c r="JRO1" s="434"/>
      <c r="JRP1" s="434"/>
      <c r="JRQ1" s="434"/>
      <c r="JRR1" s="434"/>
      <c r="JRS1" s="434"/>
      <c r="JRT1" s="434"/>
      <c r="JRU1" s="434"/>
      <c r="JRV1" s="434"/>
      <c r="JRW1" s="434"/>
      <c r="JRX1" s="434"/>
      <c r="JRY1" s="434"/>
      <c r="JRZ1" s="434"/>
      <c r="JSA1" s="434"/>
      <c r="JSB1" s="434"/>
      <c r="JSC1" s="434"/>
      <c r="JSD1" s="434"/>
      <c r="JSE1" s="434"/>
      <c r="JSF1" s="434"/>
      <c r="JSG1" s="434"/>
      <c r="JSH1" s="434"/>
      <c r="JSI1" s="434"/>
      <c r="JSJ1" s="434"/>
      <c r="JSK1" s="434"/>
      <c r="JSL1" s="434"/>
      <c r="JSM1" s="434"/>
      <c r="JSN1" s="434"/>
      <c r="JSO1" s="434"/>
      <c r="JSP1" s="434"/>
      <c r="JSQ1" s="434"/>
      <c r="JSR1" s="434"/>
      <c r="JSS1" s="434"/>
      <c r="JST1" s="434"/>
      <c r="JSU1" s="434"/>
      <c r="JSV1" s="434"/>
      <c r="JSW1" s="434"/>
      <c r="JSX1" s="434"/>
      <c r="JSY1" s="434"/>
      <c r="JSZ1" s="434"/>
      <c r="JTA1" s="434"/>
      <c r="JTB1" s="434"/>
      <c r="JTC1" s="434"/>
      <c r="JTD1" s="434"/>
      <c r="JTE1" s="434"/>
      <c r="JTF1" s="434"/>
      <c r="JTG1" s="434"/>
      <c r="JTH1" s="434"/>
      <c r="JTI1" s="434"/>
      <c r="JTJ1" s="434"/>
      <c r="JTK1" s="434"/>
      <c r="JTL1" s="434"/>
      <c r="JTM1" s="434"/>
      <c r="JTN1" s="434"/>
      <c r="JTO1" s="434"/>
      <c r="JTP1" s="434"/>
      <c r="JTQ1" s="434"/>
      <c r="JTR1" s="434"/>
      <c r="JTS1" s="434"/>
      <c r="JTT1" s="434"/>
      <c r="JTU1" s="434"/>
      <c r="JTV1" s="434"/>
      <c r="JTW1" s="434"/>
      <c r="JTX1" s="434"/>
      <c r="JTY1" s="434"/>
      <c r="JTZ1" s="434"/>
      <c r="JUA1" s="434"/>
      <c r="JUB1" s="434"/>
      <c r="JUC1" s="434"/>
      <c r="JUD1" s="434"/>
      <c r="JUE1" s="434"/>
      <c r="JUF1" s="434"/>
      <c r="JUG1" s="434"/>
      <c r="JUH1" s="434"/>
      <c r="JUI1" s="434"/>
      <c r="JUJ1" s="434"/>
      <c r="JUK1" s="434"/>
      <c r="JUL1" s="434"/>
      <c r="JUM1" s="434"/>
      <c r="JUN1" s="434"/>
      <c r="JUO1" s="434"/>
      <c r="JUP1" s="434"/>
      <c r="JUQ1" s="434"/>
      <c r="JUR1" s="434"/>
      <c r="JUS1" s="434"/>
      <c r="JUT1" s="434"/>
      <c r="JUU1" s="434"/>
      <c r="JUV1" s="434"/>
      <c r="JUW1" s="434"/>
      <c r="JUX1" s="434"/>
      <c r="JUY1" s="434"/>
      <c r="JUZ1" s="434"/>
      <c r="JVA1" s="434"/>
      <c r="JVB1" s="434"/>
      <c r="JVC1" s="434"/>
      <c r="JVD1" s="434"/>
      <c r="JVE1" s="434"/>
      <c r="JVF1" s="434"/>
      <c r="JVG1" s="434"/>
      <c r="JVH1" s="434"/>
      <c r="JVI1" s="434"/>
      <c r="JVJ1" s="434"/>
      <c r="JVK1" s="434"/>
      <c r="JVL1" s="434"/>
      <c r="JVM1" s="434"/>
      <c r="JVN1" s="434"/>
      <c r="JVO1" s="434"/>
      <c r="JVP1" s="434"/>
      <c r="JVQ1" s="434"/>
      <c r="JVR1" s="434"/>
      <c r="JVS1" s="434"/>
      <c r="JVT1" s="434"/>
      <c r="JVU1" s="434"/>
      <c r="JVV1" s="434"/>
      <c r="JVW1" s="434"/>
      <c r="JVX1" s="434"/>
      <c r="JVY1" s="434"/>
      <c r="JVZ1" s="434"/>
      <c r="JWA1" s="434"/>
      <c r="JWB1" s="434"/>
      <c r="JWC1" s="434"/>
      <c r="JWD1" s="434"/>
      <c r="JWE1" s="434"/>
      <c r="JWF1" s="434"/>
      <c r="JWG1" s="434"/>
      <c r="JWH1" s="434"/>
      <c r="JWI1" s="434"/>
      <c r="JWJ1" s="434"/>
      <c r="JWK1" s="434"/>
      <c r="JWL1" s="434"/>
      <c r="JWM1" s="434"/>
      <c r="JWN1" s="434"/>
      <c r="JWO1" s="434"/>
      <c r="JWP1" s="434"/>
      <c r="JWQ1" s="434"/>
      <c r="JWR1" s="434"/>
      <c r="JWS1" s="434"/>
      <c r="JWT1" s="434"/>
      <c r="JWU1" s="434"/>
      <c r="JWV1" s="434"/>
      <c r="JWW1" s="434"/>
      <c r="JWX1" s="434"/>
      <c r="JWY1" s="434"/>
      <c r="JWZ1" s="434"/>
      <c r="JXA1" s="434"/>
      <c r="JXB1" s="434"/>
      <c r="JXC1" s="434"/>
      <c r="JXD1" s="434"/>
      <c r="JXE1" s="434"/>
      <c r="JXF1" s="434"/>
      <c r="JXG1" s="434"/>
      <c r="JXH1" s="434"/>
      <c r="JXI1" s="434"/>
      <c r="JXJ1" s="434"/>
      <c r="JXK1" s="434"/>
      <c r="JXL1" s="434"/>
      <c r="JXM1" s="434"/>
      <c r="JXN1" s="434"/>
      <c r="JXO1" s="434"/>
      <c r="JXP1" s="434"/>
      <c r="JXQ1" s="434"/>
      <c r="JXR1" s="434"/>
      <c r="JXS1" s="434"/>
      <c r="JXT1" s="434"/>
      <c r="JXU1" s="434"/>
      <c r="JXV1" s="434"/>
      <c r="JXW1" s="434"/>
      <c r="JXX1" s="434"/>
      <c r="JXY1" s="434"/>
      <c r="JXZ1" s="434"/>
      <c r="JYA1" s="434"/>
      <c r="JYB1" s="434"/>
      <c r="JYC1" s="434"/>
      <c r="JYD1" s="434"/>
      <c r="JYE1" s="434"/>
      <c r="JYF1" s="434"/>
      <c r="JYG1" s="434"/>
      <c r="JYH1" s="434"/>
      <c r="JYI1" s="434"/>
      <c r="JYJ1" s="434"/>
      <c r="JYK1" s="434"/>
      <c r="JYL1" s="434"/>
      <c r="JYM1" s="434"/>
      <c r="JYN1" s="434"/>
      <c r="JYO1" s="434"/>
      <c r="JYP1" s="434"/>
      <c r="JYQ1" s="434"/>
      <c r="JYR1" s="434"/>
      <c r="JYS1" s="434"/>
      <c r="JYT1" s="434"/>
      <c r="JYU1" s="434"/>
      <c r="JYV1" s="434"/>
      <c r="JYW1" s="434"/>
      <c r="JYX1" s="434"/>
      <c r="JYY1" s="434"/>
      <c r="JYZ1" s="434"/>
      <c r="JZA1" s="434"/>
      <c r="JZB1" s="434"/>
      <c r="JZC1" s="434"/>
      <c r="JZD1" s="434"/>
      <c r="JZE1" s="434"/>
      <c r="JZF1" s="434"/>
      <c r="JZG1" s="434"/>
      <c r="JZH1" s="434"/>
      <c r="JZI1" s="434"/>
      <c r="JZJ1" s="434"/>
      <c r="JZK1" s="434"/>
      <c r="JZL1" s="434"/>
      <c r="JZM1" s="434"/>
      <c r="JZN1" s="434"/>
      <c r="JZO1" s="434"/>
      <c r="JZP1" s="434"/>
      <c r="JZQ1" s="434"/>
      <c r="JZR1" s="434"/>
      <c r="JZS1" s="434"/>
      <c r="JZT1" s="434"/>
      <c r="JZU1" s="434"/>
      <c r="JZV1" s="434"/>
      <c r="JZW1" s="434"/>
      <c r="JZX1" s="434"/>
      <c r="JZY1" s="434"/>
      <c r="JZZ1" s="434"/>
      <c r="KAA1" s="434"/>
      <c r="KAB1" s="434"/>
      <c r="KAC1" s="434"/>
      <c r="KAD1" s="434"/>
      <c r="KAE1" s="434"/>
      <c r="KAF1" s="434"/>
      <c r="KAG1" s="434"/>
      <c r="KAH1" s="434"/>
      <c r="KAI1" s="434"/>
      <c r="KAJ1" s="434"/>
      <c r="KAK1" s="434"/>
      <c r="KAL1" s="434"/>
      <c r="KAM1" s="434"/>
      <c r="KAN1" s="434"/>
      <c r="KAO1" s="434"/>
      <c r="KAP1" s="434"/>
      <c r="KAQ1" s="434"/>
      <c r="KAR1" s="434"/>
      <c r="KAS1" s="434"/>
      <c r="KAT1" s="434"/>
      <c r="KAU1" s="434"/>
      <c r="KAV1" s="434"/>
      <c r="KAW1" s="434"/>
      <c r="KAX1" s="434"/>
      <c r="KAY1" s="434"/>
      <c r="KAZ1" s="434"/>
      <c r="KBA1" s="434"/>
      <c r="KBB1" s="434"/>
      <c r="KBC1" s="434"/>
      <c r="KBD1" s="434"/>
      <c r="KBE1" s="434"/>
      <c r="KBF1" s="434"/>
      <c r="KBG1" s="434"/>
      <c r="KBH1" s="434"/>
      <c r="KBI1" s="434"/>
      <c r="KBJ1" s="434"/>
      <c r="KBK1" s="434"/>
      <c r="KBL1" s="434"/>
      <c r="KBM1" s="434"/>
      <c r="KBN1" s="434"/>
      <c r="KBO1" s="434"/>
      <c r="KBP1" s="434"/>
      <c r="KBQ1" s="434"/>
      <c r="KBR1" s="434"/>
      <c r="KBS1" s="434"/>
      <c r="KBT1" s="434"/>
      <c r="KBU1" s="434"/>
      <c r="KBV1" s="434"/>
      <c r="KBW1" s="434"/>
      <c r="KBX1" s="434"/>
      <c r="KBY1" s="434"/>
      <c r="KBZ1" s="434"/>
      <c r="KCA1" s="434"/>
      <c r="KCB1" s="434"/>
      <c r="KCC1" s="434"/>
      <c r="KCD1" s="434"/>
      <c r="KCE1" s="434"/>
      <c r="KCF1" s="434"/>
      <c r="KCG1" s="434"/>
      <c r="KCH1" s="434"/>
      <c r="KCI1" s="434"/>
      <c r="KCJ1" s="434"/>
      <c r="KCK1" s="434"/>
      <c r="KCL1" s="434"/>
      <c r="KCM1" s="434"/>
      <c r="KCN1" s="434"/>
      <c r="KCO1" s="434"/>
      <c r="KCP1" s="434"/>
      <c r="KCQ1" s="434"/>
      <c r="KCR1" s="434"/>
      <c r="KCS1" s="434"/>
      <c r="KCT1" s="434"/>
      <c r="KCU1" s="434"/>
      <c r="KCV1" s="434"/>
      <c r="KCW1" s="434"/>
      <c r="KCX1" s="434"/>
      <c r="KCY1" s="434"/>
      <c r="KCZ1" s="434"/>
      <c r="KDA1" s="434"/>
      <c r="KDB1" s="434"/>
      <c r="KDC1" s="434"/>
      <c r="KDD1" s="434"/>
      <c r="KDE1" s="434"/>
      <c r="KDF1" s="434"/>
      <c r="KDG1" s="434"/>
      <c r="KDH1" s="434"/>
      <c r="KDI1" s="434"/>
      <c r="KDJ1" s="434"/>
      <c r="KDK1" s="434"/>
      <c r="KDL1" s="434"/>
      <c r="KDM1" s="434"/>
      <c r="KDN1" s="434"/>
      <c r="KDO1" s="434"/>
      <c r="KDP1" s="434"/>
      <c r="KDQ1" s="434"/>
      <c r="KDR1" s="434"/>
      <c r="KDS1" s="434"/>
      <c r="KDT1" s="434"/>
      <c r="KDU1" s="434"/>
      <c r="KDV1" s="434"/>
      <c r="KDW1" s="434"/>
      <c r="KDX1" s="434"/>
      <c r="KDY1" s="434"/>
      <c r="KDZ1" s="434"/>
      <c r="KEA1" s="434"/>
      <c r="KEB1" s="434"/>
      <c r="KEC1" s="434"/>
      <c r="KED1" s="434"/>
      <c r="KEE1" s="434"/>
      <c r="KEF1" s="434"/>
      <c r="KEG1" s="434"/>
      <c r="KEH1" s="434"/>
      <c r="KEI1" s="434"/>
      <c r="KEJ1" s="434"/>
      <c r="KEK1" s="434"/>
      <c r="KEL1" s="434"/>
      <c r="KEM1" s="434"/>
      <c r="KEN1" s="434"/>
      <c r="KEO1" s="434"/>
      <c r="KEP1" s="434"/>
      <c r="KEQ1" s="434"/>
      <c r="KER1" s="434"/>
      <c r="KES1" s="434"/>
      <c r="KET1" s="434"/>
      <c r="KEU1" s="434"/>
      <c r="KEV1" s="434"/>
      <c r="KEW1" s="434"/>
      <c r="KEX1" s="434"/>
      <c r="KEY1" s="434"/>
      <c r="KEZ1" s="434"/>
      <c r="KFA1" s="434"/>
      <c r="KFB1" s="434"/>
      <c r="KFC1" s="434"/>
      <c r="KFD1" s="434"/>
      <c r="KFE1" s="434"/>
      <c r="KFF1" s="434"/>
      <c r="KFG1" s="434"/>
      <c r="KFH1" s="434"/>
      <c r="KFI1" s="434"/>
      <c r="KFJ1" s="434"/>
      <c r="KFK1" s="434"/>
      <c r="KFL1" s="434"/>
      <c r="KFM1" s="434"/>
      <c r="KFN1" s="434"/>
      <c r="KFO1" s="434"/>
      <c r="KFP1" s="434"/>
      <c r="KFQ1" s="434"/>
      <c r="KFR1" s="434"/>
      <c r="KFS1" s="434"/>
      <c r="KFT1" s="434"/>
      <c r="KFU1" s="434"/>
      <c r="KFV1" s="434"/>
      <c r="KFW1" s="434"/>
      <c r="KFX1" s="434"/>
      <c r="KFY1" s="434"/>
      <c r="KFZ1" s="434"/>
      <c r="KGA1" s="434"/>
      <c r="KGB1" s="434"/>
      <c r="KGC1" s="434"/>
      <c r="KGD1" s="434"/>
      <c r="KGE1" s="434"/>
      <c r="KGF1" s="434"/>
      <c r="KGG1" s="434"/>
      <c r="KGH1" s="434"/>
      <c r="KGI1" s="434"/>
      <c r="KGJ1" s="434"/>
      <c r="KGK1" s="434"/>
      <c r="KGL1" s="434"/>
      <c r="KGM1" s="434"/>
      <c r="KGN1" s="434"/>
      <c r="KGO1" s="434"/>
      <c r="KGP1" s="434"/>
      <c r="KGQ1" s="434"/>
      <c r="KGR1" s="434"/>
      <c r="KGS1" s="434"/>
      <c r="KGT1" s="434"/>
      <c r="KGU1" s="434"/>
      <c r="KGV1" s="434"/>
      <c r="KGW1" s="434"/>
      <c r="KGX1" s="434"/>
      <c r="KGY1" s="434"/>
      <c r="KGZ1" s="434"/>
      <c r="KHA1" s="434"/>
      <c r="KHB1" s="434"/>
      <c r="KHC1" s="434"/>
      <c r="KHD1" s="434"/>
      <c r="KHE1" s="434"/>
      <c r="KHF1" s="434"/>
      <c r="KHG1" s="434"/>
      <c r="KHH1" s="434"/>
      <c r="KHI1" s="434"/>
      <c r="KHJ1" s="434"/>
      <c r="KHK1" s="434"/>
      <c r="KHL1" s="434"/>
      <c r="KHM1" s="434"/>
      <c r="KHN1" s="434"/>
      <c r="KHO1" s="434"/>
      <c r="KHP1" s="434"/>
      <c r="KHQ1" s="434"/>
      <c r="KHR1" s="434"/>
      <c r="KHS1" s="434"/>
      <c r="KHT1" s="434"/>
      <c r="KHU1" s="434"/>
      <c r="KHV1" s="434"/>
      <c r="KHW1" s="434"/>
      <c r="KHX1" s="434"/>
      <c r="KHY1" s="434"/>
      <c r="KHZ1" s="434"/>
      <c r="KIA1" s="434"/>
      <c r="KIB1" s="434"/>
      <c r="KIC1" s="434"/>
      <c r="KID1" s="434"/>
      <c r="KIE1" s="434"/>
      <c r="KIF1" s="434"/>
      <c r="KIG1" s="434"/>
      <c r="KIH1" s="434"/>
      <c r="KII1" s="434"/>
      <c r="KIJ1" s="434"/>
      <c r="KIK1" s="434"/>
      <c r="KIL1" s="434"/>
      <c r="KIM1" s="434"/>
      <c r="KIN1" s="434"/>
      <c r="KIO1" s="434"/>
      <c r="KIP1" s="434"/>
      <c r="KIQ1" s="434"/>
      <c r="KIR1" s="434"/>
      <c r="KIS1" s="434"/>
      <c r="KIT1" s="434"/>
      <c r="KIU1" s="434"/>
      <c r="KIV1" s="434"/>
      <c r="KIW1" s="434"/>
      <c r="KIX1" s="434"/>
      <c r="KIY1" s="434"/>
      <c r="KIZ1" s="434"/>
      <c r="KJA1" s="434"/>
      <c r="KJB1" s="434"/>
      <c r="KJC1" s="434"/>
      <c r="KJD1" s="434"/>
      <c r="KJE1" s="434"/>
      <c r="KJF1" s="434"/>
      <c r="KJG1" s="434"/>
      <c r="KJH1" s="434"/>
      <c r="KJI1" s="434"/>
      <c r="KJJ1" s="434"/>
      <c r="KJK1" s="434"/>
      <c r="KJL1" s="434"/>
      <c r="KJM1" s="434"/>
      <c r="KJN1" s="434"/>
      <c r="KJO1" s="434"/>
      <c r="KJP1" s="434"/>
      <c r="KJQ1" s="434"/>
      <c r="KJR1" s="434"/>
      <c r="KJS1" s="434"/>
      <c r="KJT1" s="434"/>
      <c r="KJU1" s="434"/>
      <c r="KJV1" s="434"/>
      <c r="KJW1" s="434"/>
      <c r="KJX1" s="434"/>
      <c r="KJY1" s="434"/>
      <c r="KJZ1" s="434"/>
      <c r="KKA1" s="434"/>
      <c r="KKB1" s="434"/>
      <c r="KKC1" s="434"/>
      <c r="KKD1" s="434"/>
      <c r="KKE1" s="434"/>
      <c r="KKF1" s="434"/>
      <c r="KKG1" s="434"/>
      <c r="KKH1" s="434"/>
      <c r="KKI1" s="434"/>
      <c r="KKJ1" s="434"/>
      <c r="KKK1" s="434"/>
      <c r="KKL1" s="434"/>
      <c r="KKM1" s="434"/>
      <c r="KKN1" s="434"/>
      <c r="KKO1" s="434"/>
      <c r="KKP1" s="434"/>
      <c r="KKQ1" s="434"/>
      <c r="KKR1" s="434"/>
      <c r="KKS1" s="434"/>
      <c r="KKT1" s="434"/>
      <c r="KKU1" s="434"/>
      <c r="KKV1" s="434"/>
      <c r="KKW1" s="434"/>
      <c r="KKX1" s="434"/>
      <c r="KKY1" s="434"/>
      <c r="KKZ1" s="434"/>
      <c r="KLA1" s="434"/>
      <c r="KLB1" s="434"/>
      <c r="KLC1" s="434"/>
      <c r="KLD1" s="434"/>
      <c r="KLE1" s="434"/>
      <c r="KLF1" s="434"/>
      <c r="KLG1" s="434"/>
      <c r="KLH1" s="434"/>
      <c r="KLI1" s="434"/>
      <c r="KLJ1" s="434"/>
      <c r="KLK1" s="434"/>
      <c r="KLL1" s="434"/>
      <c r="KLM1" s="434"/>
      <c r="KLN1" s="434"/>
      <c r="KLO1" s="434"/>
      <c r="KLP1" s="434"/>
      <c r="KLQ1" s="434"/>
      <c r="KLR1" s="434"/>
      <c r="KLS1" s="434"/>
      <c r="KLT1" s="434"/>
      <c r="KLU1" s="434"/>
      <c r="KLV1" s="434"/>
      <c r="KLW1" s="434"/>
      <c r="KLX1" s="434"/>
      <c r="KLY1" s="434"/>
      <c r="KLZ1" s="434"/>
      <c r="KMA1" s="434"/>
      <c r="KMB1" s="434"/>
      <c r="KMC1" s="434"/>
      <c r="KMD1" s="434"/>
      <c r="KME1" s="434"/>
      <c r="KMF1" s="434"/>
      <c r="KMG1" s="434"/>
      <c r="KMH1" s="434"/>
      <c r="KMI1" s="434"/>
      <c r="KMJ1" s="434"/>
      <c r="KMK1" s="434"/>
      <c r="KML1" s="434"/>
      <c r="KMM1" s="434"/>
      <c r="KMN1" s="434"/>
      <c r="KMO1" s="434"/>
      <c r="KMP1" s="434"/>
      <c r="KMQ1" s="434"/>
      <c r="KMR1" s="434"/>
      <c r="KMS1" s="434"/>
      <c r="KMT1" s="434"/>
      <c r="KMU1" s="434"/>
      <c r="KMV1" s="434"/>
      <c r="KMW1" s="434"/>
      <c r="KMX1" s="434"/>
      <c r="KMY1" s="434"/>
      <c r="KMZ1" s="434"/>
      <c r="KNA1" s="434"/>
      <c r="KNB1" s="434"/>
      <c r="KNC1" s="434"/>
      <c r="KND1" s="434"/>
      <c r="KNE1" s="434"/>
      <c r="KNF1" s="434"/>
      <c r="KNG1" s="434"/>
      <c r="KNH1" s="434"/>
      <c r="KNI1" s="434"/>
      <c r="KNJ1" s="434"/>
      <c r="KNK1" s="434"/>
      <c r="KNL1" s="434"/>
      <c r="KNM1" s="434"/>
      <c r="KNN1" s="434"/>
      <c r="KNO1" s="434"/>
      <c r="KNP1" s="434"/>
      <c r="KNQ1" s="434"/>
      <c r="KNR1" s="434"/>
      <c r="KNS1" s="434"/>
      <c r="KNT1" s="434"/>
      <c r="KNU1" s="434"/>
      <c r="KNV1" s="434"/>
      <c r="KNW1" s="434"/>
      <c r="KNX1" s="434"/>
      <c r="KNY1" s="434"/>
      <c r="KNZ1" s="434"/>
      <c r="KOA1" s="434"/>
      <c r="KOB1" s="434"/>
      <c r="KOC1" s="434"/>
      <c r="KOD1" s="434"/>
      <c r="KOE1" s="434"/>
      <c r="KOF1" s="434"/>
      <c r="KOG1" s="434"/>
      <c r="KOH1" s="434"/>
      <c r="KOI1" s="434"/>
      <c r="KOJ1" s="434"/>
      <c r="KOK1" s="434"/>
      <c r="KOL1" s="434"/>
      <c r="KOM1" s="434"/>
      <c r="KON1" s="434"/>
      <c r="KOO1" s="434"/>
      <c r="KOP1" s="434"/>
      <c r="KOQ1" s="434"/>
      <c r="KOR1" s="434"/>
      <c r="KOS1" s="434"/>
      <c r="KOT1" s="434"/>
      <c r="KOU1" s="434"/>
      <c r="KOV1" s="434"/>
      <c r="KOW1" s="434"/>
      <c r="KOX1" s="434"/>
      <c r="KOY1" s="434"/>
      <c r="KOZ1" s="434"/>
      <c r="KPA1" s="434"/>
      <c r="KPB1" s="434"/>
      <c r="KPC1" s="434"/>
      <c r="KPD1" s="434"/>
      <c r="KPE1" s="434"/>
      <c r="KPF1" s="434"/>
      <c r="KPG1" s="434"/>
      <c r="KPH1" s="434"/>
      <c r="KPI1" s="434"/>
      <c r="KPJ1" s="434"/>
      <c r="KPK1" s="434"/>
      <c r="KPL1" s="434"/>
      <c r="KPM1" s="434"/>
      <c r="KPN1" s="434"/>
      <c r="KPO1" s="434"/>
      <c r="KPP1" s="434"/>
      <c r="KPQ1" s="434"/>
      <c r="KPR1" s="434"/>
      <c r="KPS1" s="434"/>
      <c r="KPT1" s="434"/>
      <c r="KPU1" s="434"/>
      <c r="KPV1" s="434"/>
      <c r="KPW1" s="434"/>
      <c r="KPX1" s="434"/>
      <c r="KPY1" s="434"/>
      <c r="KPZ1" s="434"/>
      <c r="KQA1" s="434"/>
      <c r="KQB1" s="434"/>
      <c r="KQC1" s="434"/>
      <c r="KQD1" s="434"/>
      <c r="KQE1" s="434"/>
      <c r="KQF1" s="434"/>
      <c r="KQG1" s="434"/>
      <c r="KQH1" s="434"/>
      <c r="KQI1" s="434"/>
      <c r="KQJ1" s="434"/>
      <c r="KQK1" s="434"/>
      <c r="KQL1" s="434"/>
      <c r="KQM1" s="434"/>
      <c r="KQN1" s="434"/>
      <c r="KQO1" s="434"/>
      <c r="KQP1" s="434"/>
      <c r="KQQ1" s="434"/>
      <c r="KQR1" s="434"/>
      <c r="KQS1" s="434"/>
      <c r="KQT1" s="434"/>
      <c r="KQU1" s="434"/>
      <c r="KQV1" s="434"/>
      <c r="KQW1" s="434"/>
      <c r="KQX1" s="434"/>
      <c r="KQY1" s="434"/>
      <c r="KQZ1" s="434"/>
      <c r="KRA1" s="434"/>
      <c r="KRB1" s="434"/>
      <c r="KRC1" s="434"/>
      <c r="KRD1" s="434"/>
      <c r="KRE1" s="434"/>
      <c r="KRF1" s="434"/>
      <c r="KRG1" s="434"/>
      <c r="KRH1" s="434"/>
      <c r="KRI1" s="434"/>
      <c r="KRJ1" s="434"/>
      <c r="KRK1" s="434"/>
      <c r="KRL1" s="434"/>
      <c r="KRM1" s="434"/>
      <c r="KRN1" s="434"/>
      <c r="KRO1" s="434"/>
      <c r="KRP1" s="434"/>
      <c r="KRQ1" s="434"/>
      <c r="KRR1" s="434"/>
      <c r="KRS1" s="434"/>
      <c r="KRT1" s="434"/>
      <c r="KRU1" s="434"/>
      <c r="KRV1" s="434"/>
      <c r="KRW1" s="434"/>
      <c r="KRX1" s="434"/>
      <c r="KRY1" s="434"/>
      <c r="KRZ1" s="434"/>
      <c r="KSA1" s="434"/>
      <c r="KSB1" s="434"/>
      <c r="KSC1" s="434"/>
      <c r="KSD1" s="434"/>
      <c r="KSE1" s="434"/>
      <c r="KSF1" s="434"/>
      <c r="KSG1" s="434"/>
      <c r="KSH1" s="434"/>
      <c r="KSI1" s="434"/>
      <c r="KSJ1" s="434"/>
      <c r="KSK1" s="434"/>
      <c r="KSL1" s="434"/>
      <c r="KSM1" s="434"/>
      <c r="KSN1" s="434"/>
      <c r="KSO1" s="434"/>
      <c r="KSP1" s="434"/>
      <c r="KSQ1" s="434"/>
      <c r="KSR1" s="434"/>
      <c r="KSS1" s="434"/>
      <c r="KST1" s="434"/>
      <c r="KSU1" s="434"/>
      <c r="KSV1" s="434"/>
      <c r="KSW1" s="434"/>
      <c r="KSX1" s="434"/>
      <c r="KSY1" s="434"/>
      <c r="KSZ1" s="434"/>
      <c r="KTA1" s="434"/>
      <c r="KTB1" s="434"/>
      <c r="KTC1" s="434"/>
      <c r="KTD1" s="434"/>
      <c r="KTE1" s="434"/>
      <c r="KTF1" s="434"/>
      <c r="KTG1" s="434"/>
      <c r="KTH1" s="434"/>
      <c r="KTI1" s="434"/>
      <c r="KTJ1" s="434"/>
      <c r="KTK1" s="434"/>
      <c r="KTL1" s="434"/>
      <c r="KTM1" s="434"/>
      <c r="KTN1" s="434"/>
      <c r="KTO1" s="434"/>
      <c r="KTP1" s="434"/>
      <c r="KTQ1" s="434"/>
      <c r="KTR1" s="434"/>
      <c r="KTS1" s="434"/>
      <c r="KTT1" s="434"/>
      <c r="KTU1" s="434"/>
      <c r="KTV1" s="434"/>
      <c r="KTW1" s="434"/>
      <c r="KTX1" s="434"/>
      <c r="KTY1" s="434"/>
      <c r="KTZ1" s="434"/>
      <c r="KUA1" s="434"/>
      <c r="KUB1" s="434"/>
      <c r="KUC1" s="434"/>
      <c r="KUD1" s="434"/>
      <c r="KUE1" s="434"/>
      <c r="KUF1" s="434"/>
      <c r="KUG1" s="434"/>
      <c r="KUH1" s="434"/>
      <c r="KUI1" s="434"/>
      <c r="KUJ1" s="434"/>
      <c r="KUK1" s="434"/>
      <c r="KUL1" s="434"/>
      <c r="KUM1" s="434"/>
      <c r="KUN1" s="434"/>
      <c r="KUO1" s="434"/>
      <c r="KUP1" s="434"/>
      <c r="KUQ1" s="434"/>
      <c r="KUR1" s="434"/>
      <c r="KUS1" s="434"/>
      <c r="KUT1" s="434"/>
      <c r="KUU1" s="434"/>
      <c r="KUV1" s="434"/>
      <c r="KUW1" s="434"/>
      <c r="KUX1" s="434"/>
      <c r="KUY1" s="434"/>
      <c r="KUZ1" s="434"/>
      <c r="KVA1" s="434"/>
      <c r="KVB1" s="434"/>
      <c r="KVC1" s="434"/>
      <c r="KVD1" s="434"/>
      <c r="KVE1" s="434"/>
      <c r="KVF1" s="434"/>
      <c r="KVG1" s="434"/>
      <c r="KVH1" s="434"/>
      <c r="KVI1" s="434"/>
      <c r="KVJ1" s="434"/>
      <c r="KVK1" s="434"/>
      <c r="KVL1" s="434"/>
      <c r="KVM1" s="434"/>
      <c r="KVN1" s="434"/>
      <c r="KVO1" s="434"/>
      <c r="KVP1" s="434"/>
      <c r="KVQ1" s="434"/>
      <c r="KVR1" s="434"/>
      <c r="KVS1" s="434"/>
      <c r="KVT1" s="434"/>
      <c r="KVU1" s="434"/>
      <c r="KVV1" s="434"/>
      <c r="KVW1" s="434"/>
      <c r="KVX1" s="434"/>
      <c r="KVY1" s="434"/>
      <c r="KVZ1" s="434"/>
      <c r="KWA1" s="434"/>
      <c r="KWB1" s="434"/>
      <c r="KWC1" s="434"/>
      <c r="KWD1" s="434"/>
      <c r="KWE1" s="434"/>
      <c r="KWF1" s="434"/>
      <c r="KWG1" s="434"/>
      <c r="KWH1" s="434"/>
      <c r="KWI1" s="434"/>
      <c r="KWJ1" s="434"/>
      <c r="KWK1" s="434"/>
      <c r="KWL1" s="434"/>
      <c r="KWM1" s="434"/>
      <c r="KWN1" s="434"/>
      <c r="KWO1" s="434"/>
      <c r="KWP1" s="434"/>
      <c r="KWQ1" s="434"/>
      <c r="KWR1" s="434"/>
      <c r="KWS1" s="434"/>
      <c r="KWT1" s="434"/>
      <c r="KWU1" s="434"/>
      <c r="KWV1" s="434"/>
      <c r="KWW1" s="434"/>
      <c r="KWX1" s="434"/>
      <c r="KWY1" s="434"/>
      <c r="KWZ1" s="434"/>
      <c r="KXA1" s="434"/>
      <c r="KXB1" s="434"/>
      <c r="KXC1" s="434"/>
      <c r="KXD1" s="434"/>
      <c r="KXE1" s="434"/>
      <c r="KXF1" s="434"/>
      <c r="KXG1" s="434"/>
      <c r="KXH1" s="434"/>
      <c r="KXI1" s="434"/>
      <c r="KXJ1" s="434"/>
      <c r="KXK1" s="434"/>
      <c r="KXL1" s="434"/>
      <c r="KXM1" s="434"/>
      <c r="KXN1" s="434"/>
      <c r="KXO1" s="434"/>
      <c r="KXP1" s="434"/>
      <c r="KXQ1" s="434"/>
      <c r="KXR1" s="434"/>
      <c r="KXS1" s="434"/>
      <c r="KXT1" s="434"/>
      <c r="KXU1" s="434"/>
      <c r="KXV1" s="434"/>
      <c r="KXW1" s="434"/>
      <c r="KXX1" s="434"/>
      <c r="KXY1" s="434"/>
      <c r="KXZ1" s="434"/>
      <c r="KYA1" s="434"/>
      <c r="KYB1" s="434"/>
      <c r="KYC1" s="434"/>
      <c r="KYD1" s="434"/>
      <c r="KYE1" s="434"/>
      <c r="KYF1" s="434"/>
      <c r="KYG1" s="434"/>
      <c r="KYH1" s="434"/>
      <c r="KYI1" s="434"/>
      <c r="KYJ1" s="434"/>
      <c r="KYK1" s="434"/>
      <c r="KYL1" s="434"/>
      <c r="KYM1" s="434"/>
      <c r="KYN1" s="434"/>
      <c r="KYO1" s="434"/>
      <c r="KYP1" s="434"/>
      <c r="KYQ1" s="434"/>
      <c r="KYR1" s="434"/>
      <c r="KYS1" s="434"/>
      <c r="KYT1" s="434"/>
      <c r="KYU1" s="434"/>
      <c r="KYV1" s="434"/>
      <c r="KYW1" s="434"/>
      <c r="KYX1" s="434"/>
      <c r="KYY1" s="434"/>
      <c r="KYZ1" s="434"/>
      <c r="KZA1" s="434"/>
      <c r="KZB1" s="434"/>
      <c r="KZC1" s="434"/>
      <c r="KZD1" s="434"/>
      <c r="KZE1" s="434"/>
      <c r="KZF1" s="434"/>
      <c r="KZG1" s="434"/>
      <c r="KZH1" s="434"/>
      <c r="KZI1" s="434"/>
      <c r="KZJ1" s="434"/>
      <c r="KZK1" s="434"/>
      <c r="KZL1" s="434"/>
      <c r="KZM1" s="434"/>
      <c r="KZN1" s="434"/>
      <c r="KZO1" s="434"/>
      <c r="KZP1" s="434"/>
      <c r="KZQ1" s="434"/>
      <c r="KZR1" s="434"/>
      <c r="KZS1" s="434"/>
      <c r="KZT1" s="434"/>
      <c r="KZU1" s="434"/>
      <c r="KZV1" s="434"/>
      <c r="KZW1" s="434"/>
      <c r="KZX1" s="434"/>
      <c r="KZY1" s="434"/>
      <c r="KZZ1" s="434"/>
      <c r="LAA1" s="434"/>
      <c r="LAB1" s="434"/>
      <c r="LAC1" s="434"/>
      <c r="LAD1" s="434"/>
      <c r="LAE1" s="434"/>
      <c r="LAF1" s="434"/>
      <c r="LAG1" s="434"/>
      <c r="LAH1" s="434"/>
      <c r="LAI1" s="434"/>
      <c r="LAJ1" s="434"/>
      <c r="LAK1" s="434"/>
      <c r="LAL1" s="434"/>
      <c r="LAM1" s="434"/>
      <c r="LAN1" s="434"/>
      <c r="LAO1" s="434"/>
      <c r="LAP1" s="434"/>
      <c r="LAQ1" s="434"/>
      <c r="LAR1" s="434"/>
      <c r="LAS1" s="434"/>
      <c r="LAT1" s="434"/>
      <c r="LAU1" s="434"/>
      <c r="LAV1" s="434"/>
      <c r="LAW1" s="434"/>
      <c r="LAX1" s="434"/>
      <c r="LAY1" s="434"/>
      <c r="LAZ1" s="434"/>
      <c r="LBA1" s="434"/>
      <c r="LBB1" s="434"/>
      <c r="LBC1" s="434"/>
      <c r="LBD1" s="434"/>
      <c r="LBE1" s="434"/>
      <c r="LBF1" s="434"/>
      <c r="LBG1" s="434"/>
      <c r="LBH1" s="434"/>
      <c r="LBI1" s="434"/>
      <c r="LBJ1" s="434"/>
      <c r="LBK1" s="434"/>
      <c r="LBL1" s="434"/>
      <c r="LBM1" s="434"/>
      <c r="LBN1" s="434"/>
      <c r="LBO1" s="434"/>
      <c r="LBP1" s="434"/>
      <c r="LBQ1" s="434"/>
      <c r="LBR1" s="434"/>
      <c r="LBS1" s="434"/>
      <c r="LBT1" s="434"/>
      <c r="LBU1" s="434"/>
      <c r="LBV1" s="434"/>
      <c r="LBW1" s="434"/>
      <c r="LBX1" s="434"/>
      <c r="LBY1" s="434"/>
      <c r="LBZ1" s="434"/>
      <c r="LCA1" s="434"/>
      <c r="LCB1" s="434"/>
      <c r="LCC1" s="434"/>
      <c r="LCD1" s="434"/>
      <c r="LCE1" s="434"/>
      <c r="LCF1" s="434"/>
      <c r="LCG1" s="434"/>
      <c r="LCH1" s="434"/>
      <c r="LCI1" s="434"/>
      <c r="LCJ1" s="434"/>
      <c r="LCK1" s="434"/>
      <c r="LCL1" s="434"/>
      <c r="LCM1" s="434"/>
      <c r="LCN1" s="434"/>
      <c r="LCO1" s="434"/>
      <c r="LCP1" s="434"/>
      <c r="LCQ1" s="434"/>
      <c r="LCR1" s="434"/>
      <c r="LCS1" s="434"/>
      <c r="LCT1" s="434"/>
      <c r="LCU1" s="434"/>
      <c r="LCV1" s="434"/>
      <c r="LCW1" s="434"/>
      <c r="LCX1" s="434"/>
      <c r="LCY1" s="434"/>
      <c r="LCZ1" s="434"/>
      <c r="LDA1" s="434"/>
      <c r="LDB1" s="434"/>
      <c r="LDC1" s="434"/>
      <c r="LDD1" s="434"/>
      <c r="LDE1" s="434"/>
      <c r="LDF1" s="434"/>
      <c r="LDG1" s="434"/>
      <c r="LDH1" s="434"/>
      <c r="LDI1" s="434"/>
      <c r="LDJ1" s="434"/>
      <c r="LDK1" s="434"/>
      <c r="LDL1" s="434"/>
      <c r="LDM1" s="434"/>
      <c r="LDN1" s="434"/>
      <c r="LDO1" s="434"/>
      <c r="LDP1" s="434"/>
      <c r="LDQ1" s="434"/>
      <c r="LDR1" s="434"/>
      <c r="LDS1" s="434"/>
      <c r="LDT1" s="434"/>
      <c r="LDU1" s="434"/>
      <c r="LDV1" s="434"/>
      <c r="LDW1" s="434"/>
      <c r="LDX1" s="434"/>
      <c r="LDY1" s="434"/>
      <c r="LDZ1" s="434"/>
      <c r="LEA1" s="434"/>
      <c r="LEB1" s="434"/>
      <c r="LEC1" s="434"/>
      <c r="LED1" s="434"/>
      <c r="LEE1" s="434"/>
      <c r="LEF1" s="434"/>
      <c r="LEG1" s="434"/>
      <c r="LEH1" s="434"/>
      <c r="LEI1" s="434"/>
      <c r="LEJ1" s="434"/>
      <c r="LEK1" s="434"/>
      <c r="LEL1" s="434"/>
      <c r="LEM1" s="434"/>
      <c r="LEN1" s="434"/>
      <c r="LEO1" s="434"/>
      <c r="LEP1" s="434"/>
      <c r="LEQ1" s="434"/>
      <c r="LER1" s="434"/>
      <c r="LES1" s="434"/>
      <c r="LET1" s="434"/>
      <c r="LEU1" s="434"/>
      <c r="LEV1" s="434"/>
      <c r="LEW1" s="434"/>
      <c r="LEX1" s="434"/>
      <c r="LEY1" s="434"/>
      <c r="LEZ1" s="434"/>
      <c r="LFA1" s="434"/>
      <c r="LFB1" s="434"/>
      <c r="LFC1" s="434"/>
      <c r="LFD1" s="434"/>
      <c r="LFE1" s="434"/>
      <c r="LFF1" s="434"/>
      <c r="LFG1" s="434"/>
      <c r="LFH1" s="434"/>
      <c r="LFI1" s="434"/>
      <c r="LFJ1" s="434"/>
      <c r="LFK1" s="434"/>
      <c r="LFL1" s="434"/>
      <c r="LFM1" s="434"/>
      <c r="LFN1" s="434"/>
      <c r="LFO1" s="434"/>
      <c r="LFP1" s="434"/>
      <c r="LFQ1" s="434"/>
      <c r="LFR1" s="434"/>
      <c r="LFS1" s="434"/>
      <c r="LFT1" s="434"/>
      <c r="LFU1" s="434"/>
      <c r="LFV1" s="434"/>
      <c r="LFW1" s="434"/>
      <c r="LFX1" s="434"/>
      <c r="LFY1" s="434"/>
      <c r="LFZ1" s="434"/>
      <c r="LGA1" s="434"/>
      <c r="LGB1" s="434"/>
      <c r="LGC1" s="434"/>
      <c r="LGD1" s="434"/>
      <c r="LGE1" s="434"/>
      <c r="LGF1" s="434"/>
      <c r="LGG1" s="434"/>
      <c r="LGH1" s="434"/>
      <c r="LGI1" s="434"/>
      <c r="LGJ1" s="434"/>
      <c r="LGK1" s="434"/>
      <c r="LGL1" s="434"/>
      <c r="LGM1" s="434"/>
      <c r="LGN1" s="434"/>
      <c r="LGO1" s="434"/>
      <c r="LGP1" s="434"/>
      <c r="LGQ1" s="434"/>
      <c r="LGR1" s="434"/>
      <c r="LGS1" s="434"/>
      <c r="LGT1" s="434"/>
      <c r="LGU1" s="434"/>
      <c r="LGV1" s="434"/>
      <c r="LGW1" s="434"/>
      <c r="LGX1" s="434"/>
      <c r="LGY1" s="434"/>
      <c r="LGZ1" s="434"/>
      <c r="LHA1" s="434"/>
      <c r="LHB1" s="434"/>
      <c r="LHC1" s="434"/>
      <c r="LHD1" s="434"/>
      <c r="LHE1" s="434"/>
      <c r="LHF1" s="434"/>
      <c r="LHG1" s="434"/>
      <c r="LHH1" s="434"/>
      <c r="LHI1" s="434"/>
      <c r="LHJ1" s="434"/>
      <c r="LHK1" s="434"/>
      <c r="LHL1" s="434"/>
      <c r="LHM1" s="434"/>
      <c r="LHN1" s="434"/>
      <c r="LHO1" s="434"/>
      <c r="LHP1" s="434"/>
      <c r="LHQ1" s="434"/>
      <c r="LHR1" s="434"/>
      <c r="LHS1" s="434"/>
      <c r="LHT1" s="434"/>
      <c r="LHU1" s="434"/>
      <c r="LHV1" s="434"/>
      <c r="LHW1" s="434"/>
      <c r="LHX1" s="434"/>
      <c r="LHY1" s="434"/>
      <c r="LHZ1" s="434"/>
      <c r="LIA1" s="434"/>
      <c r="LIB1" s="434"/>
      <c r="LIC1" s="434"/>
      <c r="LID1" s="434"/>
      <c r="LIE1" s="434"/>
      <c r="LIF1" s="434"/>
      <c r="LIG1" s="434"/>
      <c r="LIH1" s="434"/>
      <c r="LII1" s="434"/>
      <c r="LIJ1" s="434"/>
      <c r="LIK1" s="434"/>
      <c r="LIL1" s="434"/>
      <c r="LIM1" s="434"/>
      <c r="LIN1" s="434"/>
      <c r="LIO1" s="434"/>
      <c r="LIP1" s="434"/>
      <c r="LIQ1" s="434"/>
      <c r="LIR1" s="434"/>
      <c r="LIS1" s="434"/>
      <c r="LIT1" s="434"/>
      <c r="LIU1" s="434"/>
      <c r="LIV1" s="434"/>
      <c r="LIW1" s="434"/>
      <c r="LIX1" s="434"/>
      <c r="LIY1" s="434"/>
      <c r="LIZ1" s="434"/>
      <c r="LJA1" s="434"/>
      <c r="LJB1" s="434"/>
      <c r="LJC1" s="434"/>
      <c r="LJD1" s="434"/>
      <c r="LJE1" s="434"/>
      <c r="LJF1" s="434"/>
      <c r="LJG1" s="434"/>
      <c r="LJH1" s="434"/>
      <c r="LJI1" s="434"/>
      <c r="LJJ1" s="434"/>
      <c r="LJK1" s="434"/>
      <c r="LJL1" s="434"/>
      <c r="LJM1" s="434"/>
      <c r="LJN1" s="434"/>
      <c r="LJO1" s="434"/>
      <c r="LJP1" s="434"/>
      <c r="LJQ1" s="434"/>
      <c r="LJR1" s="434"/>
      <c r="LJS1" s="434"/>
      <c r="LJT1" s="434"/>
      <c r="LJU1" s="434"/>
      <c r="LJV1" s="434"/>
      <c r="LJW1" s="434"/>
      <c r="LJX1" s="434"/>
      <c r="LJY1" s="434"/>
      <c r="LJZ1" s="434"/>
      <c r="LKA1" s="434"/>
      <c r="LKB1" s="434"/>
      <c r="LKC1" s="434"/>
      <c r="LKD1" s="434"/>
      <c r="LKE1" s="434"/>
      <c r="LKF1" s="434"/>
      <c r="LKG1" s="434"/>
      <c r="LKH1" s="434"/>
      <c r="LKI1" s="434"/>
      <c r="LKJ1" s="434"/>
      <c r="LKK1" s="434"/>
      <c r="LKL1" s="434"/>
      <c r="LKM1" s="434"/>
      <c r="LKN1" s="434"/>
      <c r="LKO1" s="434"/>
      <c r="LKP1" s="434"/>
      <c r="LKQ1" s="434"/>
      <c r="LKR1" s="434"/>
      <c r="LKS1" s="434"/>
      <c r="LKT1" s="434"/>
      <c r="LKU1" s="434"/>
      <c r="LKV1" s="434"/>
      <c r="LKW1" s="434"/>
      <c r="LKX1" s="434"/>
      <c r="LKY1" s="434"/>
      <c r="LKZ1" s="434"/>
      <c r="LLA1" s="434"/>
      <c r="LLB1" s="434"/>
      <c r="LLC1" s="434"/>
      <c r="LLD1" s="434"/>
      <c r="LLE1" s="434"/>
      <c r="LLF1" s="434"/>
      <c r="LLG1" s="434"/>
      <c r="LLH1" s="434"/>
      <c r="LLI1" s="434"/>
      <c r="LLJ1" s="434"/>
      <c r="LLK1" s="434"/>
      <c r="LLL1" s="434"/>
      <c r="LLM1" s="434"/>
      <c r="LLN1" s="434"/>
      <c r="LLO1" s="434"/>
      <c r="LLP1" s="434"/>
      <c r="LLQ1" s="434"/>
      <c r="LLR1" s="434"/>
      <c r="LLS1" s="434"/>
      <c r="LLT1" s="434"/>
      <c r="LLU1" s="434"/>
      <c r="LLV1" s="434"/>
      <c r="LLW1" s="434"/>
      <c r="LLX1" s="434"/>
      <c r="LLY1" s="434"/>
      <c r="LLZ1" s="434"/>
      <c r="LMA1" s="434"/>
      <c r="LMB1" s="434"/>
      <c r="LMC1" s="434"/>
      <c r="LMD1" s="434"/>
      <c r="LME1" s="434"/>
      <c r="LMF1" s="434"/>
      <c r="LMG1" s="434"/>
      <c r="LMH1" s="434"/>
      <c r="LMI1" s="434"/>
      <c r="LMJ1" s="434"/>
      <c r="LMK1" s="434"/>
      <c r="LML1" s="434"/>
      <c r="LMM1" s="434"/>
      <c r="LMN1" s="434"/>
      <c r="LMO1" s="434"/>
      <c r="LMP1" s="434"/>
      <c r="LMQ1" s="434"/>
      <c r="LMR1" s="434"/>
      <c r="LMS1" s="434"/>
      <c r="LMT1" s="434"/>
      <c r="LMU1" s="434"/>
      <c r="LMV1" s="434"/>
      <c r="LMW1" s="434"/>
      <c r="LMX1" s="434"/>
      <c r="LMY1" s="434"/>
      <c r="LMZ1" s="434"/>
      <c r="LNA1" s="434"/>
      <c r="LNB1" s="434"/>
      <c r="LNC1" s="434"/>
      <c r="LND1" s="434"/>
      <c r="LNE1" s="434"/>
      <c r="LNF1" s="434"/>
      <c r="LNG1" s="434"/>
      <c r="LNH1" s="434"/>
      <c r="LNI1" s="434"/>
      <c r="LNJ1" s="434"/>
      <c r="LNK1" s="434"/>
      <c r="LNL1" s="434"/>
      <c r="LNM1" s="434"/>
      <c r="LNN1" s="434"/>
      <c r="LNO1" s="434"/>
      <c r="LNP1" s="434"/>
      <c r="LNQ1" s="434"/>
      <c r="LNR1" s="434"/>
      <c r="LNS1" s="434"/>
      <c r="LNT1" s="434"/>
      <c r="LNU1" s="434"/>
      <c r="LNV1" s="434"/>
      <c r="LNW1" s="434"/>
      <c r="LNX1" s="434"/>
      <c r="LNY1" s="434"/>
      <c r="LNZ1" s="434"/>
      <c r="LOA1" s="434"/>
      <c r="LOB1" s="434"/>
      <c r="LOC1" s="434"/>
      <c r="LOD1" s="434"/>
      <c r="LOE1" s="434"/>
      <c r="LOF1" s="434"/>
      <c r="LOG1" s="434"/>
      <c r="LOH1" s="434"/>
      <c r="LOI1" s="434"/>
      <c r="LOJ1" s="434"/>
      <c r="LOK1" s="434"/>
      <c r="LOL1" s="434"/>
      <c r="LOM1" s="434"/>
      <c r="LON1" s="434"/>
      <c r="LOO1" s="434"/>
      <c r="LOP1" s="434"/>
      <c r="LOQ1" s="434"/>
      <c r="LOR1" s="434"/>
      <c r="LOS1" s="434"/>
      <c r="LOT1" s="434"/>
      <c r="LOU1" s="434"/>
      <c r="LOV1" s="434"/>
      <c r="LOW1" s="434"/>
      <c r="LOX1" s="434"/>
      <c r="LOY1" s="434"/>
      <c r="LOZ1" s="434"/>
      <c r="LPA1" s="434"/>
      <c r="LPB1" s="434"/>
      <c r="LPC1" s="434"/>
      <c r="LPD1" s="434"/>
      <c r="LPE1" s="434"/>
      <c r="LPF1" s="434"/>
      <c r="LPG1" s="434"/>
      <c r="LPH1" s="434"/>
      <c r="LPI1" s="434"/>
      <c r="LPJ1" s="434"/>
      <c r="LPK1" s="434"/>
      <c r="LPL1" s="434"/>
      <c r="LPM1" s="434"/>
      <c r="LPN1" s="434"/>
      <c r="LPO1" s="434"/>
      <c r="LPP1" s="434"/>
      <c r="LPQ1" s="434"/>
      <c r="LPR1" s="434"/>
      <c r="LPS1" s="434"/>
      <c r="LPT1" s="434"/>
      <c r="LPU1" s="434"/>
      <c r="LPV1" s="434"/>
      <c r="LPW1" s="434"/>
      <c r="LPX1" s="434"/>
      <c r="LPY1" s="434"/>
      <c r="LPZ1" s="434"/>
      <c r="LQA1" s="434"/>
      <c r="LQB1" s="434"/>
      <c r="LQC1" s="434"/>
      <c r="LQD1" s="434"/>
      <c r="LQE1" s="434"/>
      <c r="LQF1" s="434"/>
      <c r="LQG1" s="434"/>
      <c r="LQH1" s="434"/>
      <c r="LQI1" s="434"/>
      <c r="LQJ1" s="434"/>
      <c r="LQK1" s="434"/>
      <c r="LQL1" s="434"/>
      <c r="LQM1" s="434"/>
      <c r="LQN1" s="434"/>
      <c r="LQO1" s="434"/>
      <c r="LQP1" s="434"/>
      <c r="LQQ1" s="434"/>
      <c r="LQR1" s="434"/>
      <c r="LQS1" s="434"/>
      <c r="LQT1" s="434"/>
      <c r="LQU1" s="434"/>
      <c r="LQV1" s="434"/>
      <c r="LQW1" s="434"/>
      <c r="LQX1" s="434"/>
      <c r="LQY1" s="434"/>
      <c r="LQZ1" s="434"/>
      <c r="LRA1" s="434"/>
      <c r="LRB1" s="434"/>
      <c r="LRC1" s="434"/>
      <c r="LRD1" s="434"/>
      <c r="LRE1" s="434"/>
      <c r="LRF1" s="434"/>
      <c r="LRG1" s="434"/>
      <c r="LRH1" s="434"/>
      <c r="LRI1" s="434"/>
      <c r="LRJ1" s="434"/>
      <c r="LRK1" s="434"/>
      <c r="LRL1" s="434"/>
      <c r="LRM1" s="434"/>
      <c r="LRN1" s="434"/>
      <c r="LRO1" s="434"/>
      <c r="LRP1" s="434"/>
      <c r="LRQ1" s="434"/>
      <c r="LRR1" s="434"/>
      <c r="LRS1" s="434"/>
      <c r="LRT1" s="434"/>
      <c r="LRU1" s="434"/>
      <c r="LRV1" s="434"/>
      <c r="LRW1" s="434"/>
      <c r="LRX1" s="434"/>
      <c r="LRY1" s="434"/>
      <c r="LRZ1" s="434"/>
      <c r="LSA1" s="434"/>
      <c r="LSB1" s="434"/>
      <c r="LSC1" s="434"/>
      <c r="LSD1" s="434"/>
      <c r="LSE1" s="434"/>
      <c r="LSF1" s="434"/>
      <c r="LSG1" s="434"/>
      <c r="LSH1" s="434"/>
      <c r="LSI1" s="434"/>
      <c r="LSJ1" s="434"/>
      <c r="LSK1" s="434"/>
      <c r="LSL1" s="434"/>
      <c r="LSM1" s="434"/>
      <c r="LSN1" s="434"/>
      <c r="LSO1" s="434"/>
      <c r="LSP1" s="434"/>
      <c r="LSQ1" s="434"/>
      <c r="LSR1" s="434"/>
      <c r="LSS1" s="434"/>
      <c r="LST1" s="434"/>
      <c r="LSU1" s="434"/>
      <c r="LSV1" s="434"/>
      <c r="LSW1" s="434"/>
      <c r="LSX1" s="434"/>
      <c r="LSY1" s="434"/>
      <c r="LSZ1" s="434"/>
      <c r="LTA1" s="434"/>
      <c r="LTB1" s="434"/>
      <c r="LTC1" s="434"/>
      <c r="LTD1" s="434"/>
      <c r="LTE1" s="434"/>
      <c r="LTF1" s="434"/>
      <c r="LTG1" s="434"/>
      <c r="LTH1" s="434"/>
      <c r="LTI1" s="434"/>
      <c r="LTJ1" s="434"/>
      <c r="LTK1" s="434"/>
      <c r="LTL1" s="434"/>
      <c r="LTM1" s="434"/>
      <c r="LTN1" s="434"/>
      <c r="LTO1" s="434"/>
      <c r="LTP1" s="434"/>
      <c r="LTQ1" s="434"/>
      <c r="LTR1" s="434"/>
      <c r="LTS1" s="434"/>
      <c r="LTT1" s="434"/>
      <c r="LTU1" s="434"/>
      <c r="LTV1" s="434"/>
      <c r="LTW1" s="434"/>
      <c r="LTX1" s="434"/>
      <c r="LTY1" s="434"/>
      <c r="LTZ1" s="434"/>
      <c r="LUA1" s="434"/>
      <c r="LUB1" s="434"/>
      <c r="LUC1" s="434"/>
      <c r="LUD1" s="434"/>
      <c r="LUE1" s="434"/>
      <c r="LUF1" s="434"/>
      <c r="LUG1" s="434"/>
      <c r="LUH1" s="434"/>
      <c r="LUI1" s="434"/>
      <c r="LUJ1" s="434"/>
      <c r="LUK1" s="434"/>
      <c r="LUL1" s="434"/>
      <c r="LUM1" s="434"/>
      <c r="LUN1" s="434"/>
      <c r="LUO1" s="434"/>
      <c r="LUP1" s="434"/>
      <c r="LUQ1" s="434"/>
      <c r="LUR1" s="434"/>
      <c r="LUS1" s="434"/>
      <c r="LUT1" s="434"/>
      <c r="LUU1" s="434"/>
      <c r="LUV1" s="434"/>
      <c r="LUW1" s="434"/>
      <c r="LUX1" s="434"/>
      <c r="LUY1" s="434"/>
      <c r="LUZ1" s="434"/>
      <c r="LVA1" s="434"/>
      <c r="LVB1" s="434"/>
      <c r="LVC1" s="434"/>
      <c r="LVD1" s="434"/>
      <c r="LVE1" s="434"/>
      <c r="LVF1" s="434"/>
      <c r="LVG1" s="434"/>
      <c r="LVH1" s="434"/>
      <c r="LVI1" s="434"/>
      <c r="LVJ1" s="434"/>
      <c r="LVK1" s="434"/>
      <c r="LVL1" s="434"/>
      <c r="LVM1" s="434"/>
      <c r="LVN1" s="434"/>
      <c r="LVO1" s="434"/>
      <c r="LVP1" s="434"/>
      <c r="LVQ1" s="434"/>
      <c r="LVR1" s="434"/>
      <c r="LVS1" s="434"/>
      <c r="LVT1" s="434"/>
      <c r="LVU1" s="434"/>
      <c r="LVV1" s="434"/>
      <c r="LVW1" s="434"/>
      <c r="LVX1" s="434"/>
      <c r="LVY1" s="434"/>
      <c r="LVZ1" s="434"/>
      <c r="LWA1" s="434"/>
      <c r="LWB1" s="434"/>
      <c r="LWC1" s="434"/>
      <c r="LWD1" s="434"/>
      <c r="LWE1" s="434"/>
      <c r="LWF1" s="434"/>
      <c r="LWG1" s="434"/>
      <c r="LWH1" s="434"/>
      <c r="LWI1" s="434"/>
      <c r="LWJ1" s="434"/>
      <c r="LWK1" s="434"/>
      <c r="LWL1" s="434"/>
      <c r="LWM1" s="434"/>
      <c r="LWN1" s="434"/>
      <c r="LWO1" s="434"/>
      <c r="LWP1" s="434"/>
      <c r="LWQ1" s="434"/>
      <c r="LWR1" s="434"/>
      <c r="LWS1" s="434"/>
      <c r="LWT1" s="434"/>
      <c r="LWU1" s="434"/>
      <c r="LWV1" s="434"/>
      <c r="LWW1" s="434"/>
      <c r="LWX1" s="434"/>
      <c r="LWY1" s="434"/>
      <c r="LWZ1" s="434"/>
      <c r="LXA1" s="434"/>
      <c r="LXB1" s="434"/>
      <c r="LXC1" s="434"/>
      <c r="LXD1" s="434"/>
      <c r="LXE1" s="434"/>
      <c r="LXF1" s="434"/>
      <c r="LXG1" s="434"/>
      <c r="LXH1" s="434"/>
      <c r="LXI1" s="434"/>
      <c r="LXJ1" s="434"/>
      <c r="LXK1" s="434"/>
      <c r="LXL1" s="434"/>
      <c r="LXM1" s="434"/>
      <c r="LXN1" s="434"/>
      <c r="LXO1" s="434"/>
      <c r="LXP1" s="434"/>
      <c r="LXQ1" s="434"/>
      <c r="LXR1" s="434"/>
      <c r="LXS1" s="434"/>
      <c r="LXT1" s="434"/>
      <c r="LXU1" s="434"/>
      <c r="LXV1" s="434"/>
      <c r="LXW1" s="434"/>
      <c r="LXX1" s="434"/>
      <c r="LXY1" s="434"/>
      <c r="LXZ1" s="434"/>
      <c r="LYA1" s="434"/>
      <c r="LYB1" s="434"/>
      <c r="LYC1" s="434"/>
      <c r="LYD1" s="434"/>
      <c r="LYE1" s="434"/>
      <c r="LYF1" s="434"/>
      <c r="LYG1" s="434"/>
      <c r="LYH1" s="434"/>
      <c r="LYI1" s="434"/>
      <c r="LYJ1" s="434"/>
      <c r="LYK1" s="434"/>
      <c r="LYL1" s="434"/>
      <c r="LYM1" s="434"/>
      <c r="LYN1" s="434"/>
      <c r="LYO1" s="434"/>
      <c r="LYP1" s="434"/>
      <c r="LYQ1" s="434"/>
      <c r="LYR1" s="434"/>
      <c r="LYS1" s="434"/>
      <c r="LYT1" s="434"/>
      <c r="LYU1" s="434"/>
      <c r="LYV1" s="434"/>
      <c r="LYW1" s="434"/>
      <c r="LYX1" s="434"/>
      <c r="LYY1" s="434"/>
      <c r="LYZ1" s="434"/>
      <c r="LZA1" s="434"/>
      <c r="LZB1" s="434"/>
      <c r="LZC1" s="434"/>
      <c r="LZD1" s="434"/>
      <c r="LZE1" s="434"/>
      <c r="LZF1" s="434"/>
      <c r="LZG1" s="434"/>
      <c r="LZH1" s="434"/>
      <c r="LZI1" s="434"/>
      <c r="LZJ1" s="434"/>
      <c r="LZK1" s="434"/>
      <c r="LZL1" s="434"/>
      <c r="LZM1" s="434"/>
      <c r="LZN1" s="434"/>
      <c r="LZO1" s="434"/>
      <c r="LZP1" s="434"/>
      <c r="LZQ1" s="434"/>
      <c r="LZR1" s="434"/>
      <c r="LZS1" s="434"/>
      <c r="LZT1" s="434"/>
      <c r="LZU1" s="434"/>
      <c r="LZV1" s="434"/>
      <c r="LZW1" s="434"/>
      <c r="LZX1" s="434"/>
      <c r="LZY1" s="434"/>
      <c r="LZZ1" s="434"/>
      <c r="MAA1" s="434"/>
      <c r="MAB1" s="434"/>
      <c r="MAC1" s="434"/>
      <c r="MAD1" s="434"/>
      <c r="MAE1" s="434"/>
      <c r="MAF1" s="434"/>
      <c r="MAG1" s="434"/>
      <c r="MAH1" s="434"/>
      <c r="MAI1" s="434"/>
      <c r="MAJ1" s="434"/>
      <c r="MAK1" s="434"/>
      <c r="MAL1" s="434"/>
      <c r="MAM1" s="434"/>
      <c r="MAN1" s="434"/>
      <c r="MAO1" s="434"/>
      <c r="MAP1" s="434"/>
      <c r="MAQ1" s="434"/>
      <c r="MAR1" s="434"/>
      <c r="MAS1" s="434"/>
      <c r="MAT1" s="434"/>
      <c r="MAU1" s="434"/>
      <c r="MAV1" s="434"/>
      <c r="MAW1" s="434"/>
      <c r="MAX1" s="434"/>
      <c r="MAY1" s="434"/>
      <c r="MAZ1" s="434"/>
      <c r="MBA1" s="434"/>
      <c r="MBB1" s="434"/>
      <c r="MBC1" s="434"/>
      <c r="MBD1" s="434"/>
      <c r="MBE1" s="434"/>
      <c r="MBF1" s="434"/>
      <c r="MBG1" s="434"/>
      <c r="MBH1" s="434"/>
      <c r="MBI1" s="434"/>
      <c r="MBJ1" s="434"/>
      <c r="MBK1" s="434"/>
      <c r="MBL1" s="434"/>
      <c r="MBM1" s="434"/>
      <c r="MBN1" s="434"/>
      <c r="MBO1" s="434"/>
      <c r="MBP1" s="434"/>
      <c r="MBQ1" s="434"/>
      <c r="MBR1" s="434"/>
      <c r="MBS1" s="434"/>
      <c r="MBT1" s="434"/>
      <c r="MBU1" s="434"/>
      <c r="MBV1" s="434"/>
      <c r="MBW1" s="434"/>
      <c r="MBX1" s="434"/>
      <c r="MBY1" s="434"/>
      <c r="MBZ1" s="434"/>
      <c r="MCA1" s="434"/>
      <c r="MCB1" s="434"/>
      <c r="MCC1" s="434"/>
      <c r="MCD1" s="434"/>
      <c r="MCE1" s="434"/>
      <c r="MCF1" s="434"/>
      <c r="MCG1" s="434"/>
      <c r="MCH1" s="434"/>
      <c r="MCI1" s="434"/>
      <c r="MCJ1" s="434"/>
      <c r="MCK1" s="434"/>
      <c r="MCL1" s="434"/>
      <c r="MCM1" s="434"/>
      <c r="MCN1" s="434"/>
      <c r="MCO1" s="434"/>
      <c r="MCP1" s="434"/>
      <c r="MCQ1" s="434"/>
      <c r="MCR1" s="434"/>
      <c r="MCS1" s="434"/>
      <c r="MCT1" s="434"/>
      <c r="MCU1" s="434"/>
      <c r="MCV1" s="434"/>
      <c r="MCW1" s="434"/>
      <c r="MCX1" s="434"/>
      <c r="MCY1" s="434"/>
      <c r="MCZ1" s="434"/>
      <c r="MDA1" s="434"/>
      <c r="MDB1" s="434"/>
      <c r="MDC1" s="434"/>
      <c r="MDD1" s="434"/>
      <c r="MDE1" s="434"/>
      <c r="MDF1" s="434"/>
      <c r="MDG1" s="434"/>
      <c r="MDH1" s="434"/>
      <c r="MDI1" s="434"/>
      <c r="MDJ1" s="434"/>
      <c r="MDK1" s="434"/>
      <c r="MDL1" s="434"/>
      <c r="MDM1" s="434"/>
      <c r="MDN1" s="434"/>
      <c r="MDO1" s="434"/>
      <c r="MDP1" s="434"/>
      <c r="MDQ1" s="434"/>
      <c r="MDR1" s="434"/>
      <c r="MDS1" s="434"/>
      <c r="MDT1" s="434"/>
      <c r="MDU1" s="434"/>
      <c r="MDV1" s="434"/>
      <c r="MDW1" s="434"/>
      <c r="MDX1" s="434"/>
      <c r="MDY1" s="434"/>
      <c r="MDZ1" s="434"/>
      <c r="MEA1" s="434"/>
      <c r="MEB1" s="434"/>
      <c r="MEC1" s="434"/>
      <c r="MED1" s="434"/>
      <c r="MEE1" s="434"/>
      <c r="MEF1" s="434"/>
      <c r="MEG1" s="434"/>
      <c r="MEH1" s="434"/>
      <c r="MEI1" s="434"/>
      <c r="MEJ1" s="434"/>
      <c r="MEK1" s="434"/>
      <c r="MEL1" s="434"/>
      <c r="MEM1" s="434"/>
      <c r="MEN1" s="434"/>
      <c r="MEO1" s="434"/>
      <c r="MEP1" s="434"/>
      <c r="MEQ1" s="434"/>
      <c r="MER1" s="434"/>
      <c r="MES1" s="434"/>
      <c r="MET1" s="434"/>
      <c r="MEU1" s="434"/>
      <c r="MEV1" s="434"/>
      <c r="MEW1" s="434"/>
      <c r="MEX1" s="434"/>
      <c r="MEY1" s="434"/>
      <c r="MEZ1" s="434"/>
      <c r="MFA1" s="434"/>
      <c r="MFB1" s="434"/>
      <c r="MFC1" s="434"/>
      <c r="MFD1" s="434"/>
      <c r="MFE1" s="434"/>
      <c r="MFF1" s="434"/>
      <c r="MFG1" s="434"/>
      <c r="MFH1" s="434"/>
      <c r="MFI1" s="434"/>
      <c r="MFJ1" s="434"/>
      <c r="MFK1" s="434"/>
      <c r="MFL1" s="434"/>
      <c r="MFM1" s="434"/>
      <c r="MFN1" s="434"/>
      <c r="MFO1" s="434"/>
      <c r="MFP1" s="434"/>
      <c r="MFQ1" s="434"/>
      <c r="MFR1" s="434"/>
      <c r="MFS1" s="434"/>
      <c r="MFT1" s="434"/>
      <c r="MFU1" s="434"/>
      <c r="MFV1" s="434"/>
      <c r="MFW1" s="434"/>
      <c r="MFX1" s="434"/>
      <c r="MFY1" s="434"/>
      <c r="MFZ1" s="434"/>
      <c r="MGA1" s="434"/>
      <c r="MGB1" s="434"/>
      <c r="MGC1" s="434"/>
      <c r="MGD1" s="434"/>
      <c r="MGE1" s="434"/>
      <c r="MGF1" s="434"/>
      <c r="MGG1" s="434"/>
      <c r="MGH1" s="434"/>
      <c r="MGI1" s="434"/>
      <c r="MGJ1" s="434"/>
      <c r="MGK1" s="434"/>
      <c r="MGL1" s="434"/>
      <c r="MGM1" s="434"/>
      <c r="MGN1" s="434"/>
      <c r="MGO1" s="434"/>
      <c r="MGP1" s="434"/>
      <c r="MGQ1" s="434"/>
      <c r="MGR1" s="434"/>
      <c r="MGS1" s="434"/>
      <c r="MGT1" s="434"/>
      <c r="MGU1" s="434"/>
      <c r="MGV1" s="434"/>
      <c r="MGW1" s="434"/>
      <c r="MGX1" s="434"/>
      <c r="MGY1" s="434"/>
      <c r="MGZ1" s="434"/>
      <c r="MHA1" s="434"/>
      <c r="MHB1" s="434"/>
      <c r="MHC1" s="434"/>
      <c r="MHD1" s="434"/>
      <c r="MHE1" s="434"/>
      <c r="MHF1" s="434"/>
      <c r="MHG1" s="434"/>
      <c r="MHH1" s="434"/>
      <c r="MHI1" s="434"/>
      <c r="MHJ1" s="434"/>
      <c r="MHK1" s="434"/>
      <c r="MHL1" s="434"/>
      <c r="MHM1" s="434"/>
      <c r="MHN1" s="434"/>
      <c r="MHO1" s="434"/>
      <c r="MHP1" s="434"/>
      <c r="MHQ1" s="434"/>
      <c r="MHR1" s="434"/>
      <c r="MHS1" s="434"/>
      <c r="MHT1" s="434"/>
      <c r="MHU1" s="434"/>
      <c r="MHV1" s="434"/>
      <c r="MHW1" s="434"/>
      <c r="MHX1" s="434"/>
      <c r="MHY1" s="434"/>
      <c r="MHZ1" s="434"/>
      <c r="MIA1" s="434"/>
      <c r="MIB1" s="434"/>
      <c r="MIC1" s="434"/>
      <c r="MID1" s="434"/>
      <c r="MIE1" s="434"/>
      <c r="MIF1" s="434"/>
      <c r="MIG1" s="434"/>
      <c r="MIH1" s="434"/>
      <c r="MII1" s="434"/>
      <c r="MIJ1" s="434"/>
      <c r="MIK1" s="434"/>
      <c r="MIL1" s="434"/>
      <c r="MIM1" s="434"/>
      <c r="MIN1" s="434"/>
      <c r="MIO1" s="434"/>
      <c r="MIP1" s="434"/>
      <c r="MIQ1" s="434"/>
      <c r="MIR1" s="434"/>
      <c r="MIS1" s="434"/>
      <c r="MIT1" s="434"/>
      <c r="MIU1" s="434"/>
      <c r="MIV1" s="434"/>
      <c r="MIW1" s="434"/>
      <c r="MIX1" s="434"/>
      <c r="MIY1" s="434"/>
      <c r="MIZ1" s="434"/>
      <c r="MJA1" s="434"/>
      <c r="MJB1" s="434"/>
      <c r="MJC1" s="434"/>
      <c r="MJD1" s="434"/>
      <c r="MJE1" s="434"/>
      <c r="MJF1" s="434"/>
      <c r="MJG1" s="434"/>
      <c r="MJH1" s="434"/>
      <c r="MJI1" s="434"/>
      <c r="MJJ1" s="434"/>
      <c r="MJK1" s="434"/>
      <c r="MJL1" s="434"/>
      <c r="MJM1" s="434"/>
      <c r="MJN1" s="434"/>
      <c r="MJO1" s="434"/>
      <c r="MJP1" s="434"/>
      <c r="MJQ1" s="434"/>
      <c r="MJR1" s="434"/>
      <c r="MJS1" s="434"/>
      <c r="MJT1" s="434"/>
      <c r="MJU1" s="434"/>
      <c r="MJV1" s="434"/>
      <c r="MJW1" s="434"/>
      <c r="MJX1" s="434"/>
      <c r="MJY1" s="434"/>
      <c r="MJZ1" s="434"/>
      <c r="MKA1" s="434"/>
      <c r="MKB1" s="434"/>
      <c r="MKC1" s="434"/>
      <c r="MKD1" s="434"/>
      <c r="MKE1" s="434"/>
      <c r="MKF1" s="434"/>
      <c r="MKG1" s="434"/>
      <c r="MKH1" s="434"/>
      <c r="MKI1" s="434"/>
      <c r="MKJ1" s="434"/>
      <c r="MKK1" s="434"/>
      <c r="MKL1" s="434"/>
      <c r="MKM1" s="434"/>
      <c r="MKN1" s="434"/>
      <c r="MKO1" s="434"/>
      <c r="MKP1" s="434"/>
      <c r="MKQ1" s="434"/>
      <c r="MKR1" s="434"/>
      <c r="MKS1" s="434"/>
      <c r="MKT1" s="434"/>
      <c r="MKU1" s="434"/>
      <c r="MKV1" s="434"/>
      <c r="MKW1" s="434"/>
      <c r="MKX1" s="434"/>
      <c r="MKY1" s="434"/>
      <c r="MKZ1" s="434"/>
      <c r="MLA1" s="434"/>
      <c r="MLB1" s="434"/>
      <c r="MLC1" s="434"/>
      <c r="MLD1" s="434"/>
      <c r="MLE1" s="434"/>
      <c r="MLF1" s="434"/>
      <c r="MLG1" s="434"/>
      <c r="MLH1" s="434"/>
      <c r="MLI1" s="434"/>
      <c r="MLJ1" s="434"/>
      <c r="MLK1" s="434"/>
      <c r="MLL1" s="434"/>
      <c r="MLM1" s="434"/>
      <c r="MLN1" s="434"/>
      <c r="MLO1" s="434"/>
      <c r="MLP1" s="434"/>
      <c r="MLQ1" s="434"/>
      <c r="MLR1" s="434"/>
      <c r="MLS1" s="434"/>
      <c r="MLT1" s="434"/>
      <c r="MLU1" s="434"/>
      <c r="MLV1" s="434"/>
      <c r="MLW1" s="434"/>
      <c r="MLX1" s="434"/>
      <c r="MLY1" s="434"/>
      <c r="MLZ1" s="434"/>
      <c r="MMA1" s="434"/>
      <c r="MMB1" s="434"/>
      <c r="MMC1" s="434"/>
      <c r="MMD1" s="434"/>
      <c r="MME1" s="434"/>
      <c r="MMF1" s="434"/>
      <c r="MMG1" s="434"/>
      <c r="MMH1" s="434"/>
      <c r="MMI1" s="434"/>
      <c r="MMJ1" s="434"/>
      <c r="MMK1" s="434"/>
      <c r="MML1" s="434"/>
      <c r="MMM1" s="434"/>
      <c r="MMN1" s="434"/>
      <c r="MMO1" s="434"/>
      <c r="MMP1" s="434"/>
      <c r="MMQ1" s="434"/>
      <c r="MMR1" s="434"/>
      <c r="MMS1" s="434"/>
      <c r="MMT1" s="434"/>
      <c r="MMU1" s="434"/>
      <c r="MMV1" s="434"/>
      <c r="MMW1" s="434"/>
      <c r="MMX1" s="434"/>
      <c r="MMY1" s="434"/>
      <c r="MMZ1" s="434"/>
      <c r="MNA1" s="434"/>
      <c r="MNB1" s="434"/>
      <c r="MNC1" s="434"/>
      <c r="MND1" s="434"/>
      <c r="MNE1" s="434"/>
      <c r="MNF1" s="434"/>
      <c r="MNG1" s="434"/>
      <c r="MNH1" s="434"/>
      <c r="MNI1" s="434"/>
      <c r="MNJ1" s="434"/>
      <c r="MNK1" s="434"/>
      <c r="MNL1" s="434"/>
      <c r="MNM1" s="434"/>
      <c r="MNN1" s="434"/>
      <c r="MNO1" s="434"/>
      <c r="MNP1" s="434"/>
      <c r="MNQ1" s="434"/>
      <c r="MNR1" s="434"/>
      <c r="MNS1" s="434"/>
      <c r="MNT1" s="434"/>
      <c r="MNU1" s="434"/>
      <c r="MNV1" s="434"/>
      <c r="MNW1" s="434"/>
      <c r="MNX1" s="434"/>
      <c r="MNY1" s="434"/>
      <c r="MNZ1" s="434"/>
      <c r="MOA1" s="434"/>
      <c r="MOB1" s="434"/>
      <c r="MOC1" s="434"/>
      <c r="MOD1" s="434"/>
      <c r="MOE1" s="434"/>
      <c r="MOF1" s="434"/>
      <c r="MOG1" s="434"/>
      <c r="MOH1" s="434"/>
      <c r="MOI1" s="434"/>
      <c r="MOJ1" s="434"/>
      <c r="MOK1" s="434"/>
      <c r="MOL1" s="434"/>
      <c r="MOM1" s="434"/>
      <c r="MON1" s="434"/>
      <c r="MOO1" s="434"/>
      <c r="MOP1" s="434"/>
      <c r="MOQ1" s="434"/>
      <c r="MOR1" s="434"/>
      <c r="MOS1" s="434"/>
      <c r="MOT1" s="434"/>
      <c r="MOU1" s="434"/>
      <c r="MOV1" s="434"/>
      <c r="MOW1" s="434"/>
      <c r="MOX1" s="434"/>
      <c r="MOY1" s="434"/>
      <c r="MOZ1" s="434"/>
      <c r="MPA1" s="434"/>
      <c r="MPB1" s="434"/>
      <c r="MPC1" s="434"/>
      <c r="MPD1" s="434"/>
      <c r="MPE1" s="434"/>
      <c r="MPF1" s="434"/>
      <c r="MPG1" s="434"/>
      <c r="MPH1" s="434"/>
      <c r="MPI1" s="434"/>
      <c r="MPJ1" s="434"/>
      <c r="MPK1" s="434"/>
      <c r="MPL1" s="434"/>
      <c r="MPM1" s="434"/>
      <c r="MPN1" s="434"/>
      <c r="MPO1" s="434"/>
      <c r="MPP1" s="434"/>
      <c r="MPQ1" s="434"/>
      <c r="MPR1" s="434"/>
      <c r="MPS1" s="434"/>
      <c r="MPT1" s="434"/>
      <c r="MPU1" s="434"/>
      <c r="MPV1" s="434"/>
      <c r="MPW1" s="434"/>
      <c r="MPX1" s="434"/>
      <c r="MPY1" s="434"/>
      <c r="MPZ1" s="434"/>
      <c r="MQA1" s="434"/>
      <c r="MQB1" s="434"/>
      <c r="MQC1" s="434"/>
      <c r="MQD1" s="434"/>
      <c r="MQE1" s="434"/>
      <c r="MQF1" s="434"/>
      <c r="MQG1" s="434"/>
      <c r="MQH1" s="434"/>
      <c r="MQI1" s="434"/>
      <c r="MQJ1" s="434"/>
      <c r="MQK1" s="434"/>
      <c r="MQL1" s="434"/>
      <c r="MQM1" s="434"/>
      <c r="MQN1" s="434"/>
      <c r="MQO1" s="434"/>
      <c r="MQP1" s="434"/>
      <c r="MQQ1" s="434"/>
      <c r="MQR1" s="434"/>
      <c r="MQS1" s="434"/>
      <c r="MQT1" s="434"/>
      <c r="MQU1" s="434"/>
      <c r="MQV1" s="434"/>
      <c r="MQW1" s="434"/>
      <c r="MQX1" s="434"/>
      <c r="MQY1" s="434"/>
      <c r="MQZ1" s="434"/>
      <c r="MRA1" s="434"/>
      <c r="MRB1" s="434"/>
      <c r="MRC1" s="434"/>
      <c r="MRD1" s="434"/>
      <c r="MRE1" s="434"/>
      <c r="MRF1" s="434"/>
      <c r="MRG1" s="434"/>
      <c r="MRH1" s="434"/>
      <c r="MRI1" s="434"/>
      <c r="MRJ1" s="434"/>
      <c r="MRK1" s="434"/>
      <c r="MRL1" s="434"/>
      <c r="MRM1" s="434"/>
      <c r="MRN1" s="434"/>
      <c r="MRO1" s="434"/>
      <c r="MRP1" s="434"/>
      <c r="MRQ1" s="434"/>
      <c r="MRR1" s="434"/>
      <c r="MRS1" s="434"/>
      <c r="MRT1" s="434"/>
      <c r="MRU1" s="434"/>
      <c r="MRV1" s="434"/>
      <c r="MRW1" s="434"/>
      <c r="MRX1" s="434"/>
      <c r="MRY1" s="434"/>
      <c r="MRZ1" s="434"/>
      <c r="MSA1" s="434"/>
      <c r="MSB1" s="434"/>
      <c r="MSC1" s="434"/>
      <c r="MSD1" s="434"/>
      <c r="MSE1" s="434"/>
      <c r="MSF1" s="434"/>
      <c r="MSG1" s="434"/>
      <c r="MSH1" s="434"/>
      <c r="MSI1" s="434"/>
      <c r="MSJ1" s="434"/>
      <c r="MSK1" s="434"/>
      <c r="MSL1" s="434"/>
      <c r="MSM1" s="434"/>
      <c r="MSN1" s="434"/>
      <c r="MSO1" s="434"/>
      <c r="MSP1" s="434"/>
      <c r="MSQ1" s="434"/>
      <c r="MSR1" s="434"/>
      <c r="MSS1" s="434"/>
      <c r="MST1" s="434"/>
      <c r="MSU1" s="434"/>
      <c r="MSV1" s="434"/>
      <c r="MSW1" s="434"/>
      <c r="MSX1" s="434"/>
      <c r="MSY1" s="434"/>
      <c r="MSZ1" s="434"/>
      <c r="MTA1" s="434"/>
      <c r="MTB1" s="434"/>
      <c r="MTC1" s="434"/>
      <c r="MTD1" s="434"/>
      <c r="MTE1" s="434"/>
      <c r="MTF1" s="434"/>
      <c r="MTG1" s="434"/>
      <c r="MTH1" s="434"/>
      <c r="MTI1" s="434"/>
      <c r="MTJ1" s="434"/>
      <c r="MTK1" s="434"/>
      <c r="MTL1" s="434"/>
      <c r="MTM1" s="434"/>
      <c r="MTN1" s="434"/>
      <c r="MTO1" s="434"/>
      <c r="MTP1" s="434"/>
      <c r="MTQ1" s="434"/>
      <c r="MTR1" s="434"/>
      <c r="MTS1" s="434"/>
      <c r="MTT1" s="434"/>
      <c r="MTU1" s="434"/>
      <c r="MTV1" s="434"/>
      <c r="MTW1" s="434"/>
      <c r="MTX1" s="434"/>
      <c r="MTY1" s="434"/>
      <c r="MTZ1" s="434"/>
      <c r="MUA1" s="434"/>
      <c r="MUB1" s="434"/>
      <c r="MUC1" s="434"/>
      <c r="MUD1" s="434"/>
      <c r="MUE1" s="434"/>
      <c r="MUF1" s="434"/>
      <c r="MUG1" s="434"/>
      <c r="MUH1" s="434"/>
      <c r="MUI1" s="434"/>
      <c r="MUJ1" s="434"/>
      <c r="MUK1" s="434"/>
      <c r="MUL1" s="434"/>
      <c r="MUM1" s="434"/>
      <c r="MUN1" s="434"/>
      <c r="MUO1" s="434"/>
      <c r="MUP1" s="434"/>
      <c r="MUQ1" s="434"/>
      <c r="MUR1" s="434"/>
      <c r="MUS1" s="434"/>
      <c r="MUT1" s="434"/>
      <c r="MUU1" s="434"/>
      <c r="MUV1" s="434"/>
      <c r="MUW1" s="434"/>
      <c r="MUX1" s="434"/>
      <c r="MUY1" s="434"/>
      <c r="MUZ1" s="434"/>
      <c r="MVA1" s="434"/>
      <c r="MVB1" s="434"/>
      <c r="MVC1" s="434"/>
      <c r="MVD1" s="434"/>
      <c r="MVE1" s="434"/>
      <c r="MVF1" s="434"/>
      <c r="MVG1" s="434"/>
      <c r="MVH1" s="434"/>
      <c r="MVI1" s="434"/>
      <c r="MVJ1" s="434"/>
      <c r="MVK1" s="434"/>
      <c r="MVL1" s="434"/>
      <c r="MVM1" s="434"/>
      <c r="MVN1" s="434"/>
      <c r="MVO1" s="434"/>
      <c r="MVP1" s="434"/>
      <c r="MVQ1" s="434"/>
      <c r="MVR1" s="434"/>
      <c r="MVS1" s="434"/>
      <c r="MVT1" s="434"/>
      <c r="MVU1" s="434"/>
      <c r="MVV1" s="434"/>
      <c r="MVW1" s="434"/>
      <c r="MVX1" s="434"/>
      <c r="MVY1" s="434"/>
      <c r="MVZ1" s="434"/>
      <c r="MWA1" s="434"/>
      <c r="MWB1" s="434"/>
      <c r="MWC1" s="434"/>
      <c r="MWD1" s="434"/>
      <c r="MWE1" s="434"/>
      <c r="MWF1" s="434"/>
      <c r="MWG1" s="434"/>
      <c r="MWH1" s="434"/>
      <c r="MWI1" s="434"/>
      <c r="MWJ1" s="434"/>
      <c r="MWK1" s="434"/>
      <c r="MWL1" s="434"/>
      <c r="MWM1" s="434"/>
      <c r="MWN1" s="434"/>
      <c r="MWO1" s="434"/>
      <c r="MWP1" s="434"/>
      <c r="MWQ1" s="434"/>
      <c r="MWR1" s="434"/>
      <c r="MWS1" s="434"/>
      <c r="MWT1" s="434"/>
      <c r="MWU1" s="434"/>
      <c r="MWV1" s="434"/>
      <c r="MWW1" s="434"/>
      <c r="MWX1" s="434"/>
      <c r="MWY1" s="434"/>
      <c r="MWZ1" s="434"/>
      <c r="MXA1" s="434"/>
      <c r="MXB1" s="434"/>
      <c r="MXC1" s="434"/>
      <c r="MXD1" s="434"/>
      <c r="MXE1" s="434"/>
      <c r="MXF1" s="434"/>
      <c r="MXG1" s="434"/>
      <c r="MXH1" s="434"/>
      <c r="MXI1" s="434"/>
      <c r="MXJ1" s="434"/>
      <c r="MXK1" s="434"/>
      <c r="MXL1" s="434"/>
      <c r="MXM1" s="434"/>
      <c r="MXN1" s="434"/>
      <c r="MXO1" s="434"/>
      <c r="MXP1" s="434"/>
      <c r="MXQ1" s="434"/>
      <c r="MXR1" s="434"/>
      <c r="MXS1" s="434"/>
      <c r="MXT1" s="434"/>
      <c r="MXU1" s="434"/>
      <c r="MXV1" s="434"/>
      <c r="MXW1" s="434"/>
      <c r="MXX1" s="434"/>
      <c r="MXY1" s="434"/>
      <c r="MXZ1" s="434"/>
      <c r="MYA1" s="434"/>
      <c r="MYB1" s="434"/>
      <c r="MYC1" s="434"/>
      <c r="MYD1" s="434"/>
      <c r="MYE1" s="434"/>
      <c r="MYF1" s="434"/>
      <c r="MYG1" s="434"/>
      <c r="MYH1" s="434"/>
      <c r="MYI1" s="434"/>
      <c r="MYJ1" s="434"/>
      <c r="MYK1" s="434"/>
      <c r="MYL1" s="434"/>
      <c r="MYM1" s="434"/>
      <c r="MYN1" s="434"/>
      <c r="MYO1" s="434"/>
      <c r="MYP1" s="434"/>
      <c r="MYQ1" s="434"/>
      <c r="MYR1" s="434"/>
      <c r="MYS1" s="434"/>
      <c r="MYT1" s="434"/>
      <c r="MYU1" s="434"/>
      <c r="MYV1" s="434"/>
      <c r="MYW1" s="434"/>
      <c r="MYX1" s="434"/>
      <c r="MYY1" s="434"/>
      <c r="MYZ1" s="434"/>
      <c r="MZA1" s="434"/>
      <c r="MZB1" s="434"/>
      <c r="MZC1" s="434"/>
      <c r="MZD1" s="434"/>
      <c r="MZE1" s="434"/>
      <c r="MZF1" s="434"/>
      <c r="MZG1" s="434"/>
      <c r="MZH1" s="434"/>
      <c r="MZI1" s="434"/>
      <c r="MZJ1" s="434"/>
      <c r="MZK1" s="434"/>
      <c r="MZL1" s="434"/>
      <c r="MZM1" s="434"/>
      <c r="MZN1" s="434"/>
      <c r="MZO1" s="434"/>
      <c r="MZP1" s="434"/>
      <c r="MZQ1" s="434"/>
      <c r="MZR1" s="434"/>
      <c r="MZS1" s="434"/>
      <c r="MZT1" s="434"/>
      <c r="MZU1" s="434"/>
      <c r="MZV1" s="434"/>
      <c r="MZW1" s="434"/>
      <c r="MZX1" s="434"/>
      <c r="MZY1" s="434"/>
      <c r="MZZ1" s="434"/>
      <c r="NAA1" s="434"/>
      <c r="NAB1" s="434"/>
      <c r="NAC1" s="434"/>
      <c r="NAD1" s="434"/>
      <c r="NAE1" s="434"/>
      <c r="NAF1" s="434"/>
      <c r="NAG1" s="434"/>
      <c r="NAH1" s="434"/>
      <c r="NAI1" s="434"/>
      <c r="NAJ1" s="434"/>
      <c r="NAK1" s="434"/>
      <c r="NAL1" s="434"/>
      <c r="NAM1" s="434"/>
      <c r="NAN1" s="434"/>
      <c r="NAO1" s="434"/>
      <c r="NAP1" s="434"/>
      <c r="NAQ1" s="434"/>
      <c r="NAR1" s="434"/>
      <c r="NAS1" s="434"/>
      <c r="NAT1" s="434"/>
      <c r="NAU1" s="434"/>
      <c r="NAV1" s="434"/>
      <c r="NAW1" s="434"/>
      <c r="NAX1" s="434"/>
      <c r="NAY1" s="434"/>
      <c r="NAZ1" s="434"/>
      <c r="NBA1" s="434"/>
      <c r="NBB1" s="434"/>
      <c r="NBC1" s="434"/>
      <c r="NBD1" s="434"/>
      <c r="NBE1" s="434"/>
      <c r="NBF1" s="434"/>
      <c r="NBG1" s="434"/>
      <c r="NBH1" s="434"/>
      <c r="NBI1" s="434"/>
      <c r="NBJ1" s="434"/>
      <c r="NBK1" s="434"/>
      <c r="NBL1" s="434"/>
      <c r="NBM1" s="434"/>
      <c r="NBN1" s="434"/>
      <c r="NBO1" s="434"/>
      <c r="NBP1" s="434"/>
      <c r="NBQ1" s="434"/>
      <c r="NBR1" s="434"/>
      <c r="NBS1" s="434"/>
      <c r="NBT1" s="434"/>
      <c r="NBU1" s="434"/>
      <c r="NBV1" s="434"/>
      <c r="NBW1" s="434"/>
      <c r="NBX1" s="434"/>
      <c r="NBY1" s="434"/>
      <c r="NBZ1" s="434"/>
      <c r="NCA1" s="434"/>
      <c r="NCB1" s="434"/>
      <c r="NCC1" s="434"/>
      <c r="NCD1" s="434"/>
      <c r="NCE1" s="434"/>
      <c r="NCF1" s="434"/>
      <c r="NCG1" s="434"/>
      <c r="NCH1" s="434"/>
      <c r="NCI1" s="434"/>
      <c r="NCJ1" s="434"/>
      <c r="NCK1" s="434"/>
      <c r="NCL1" s="434"/>
      <c r="NCM1" s="434"/>
      <c r="NCN1" s="434"/>
      <c r="NCO1" s="434"/>
      <c r="NCP1" s="434"/>
      <c r="NCQ1" s="434"/>
      <c r="NCR1" s="434"/>
      <c r="NCS1" s="434"/>
      <c r="NCT1" s="434"/>
      <c r="NCU1" s="434"/>
      <c r="NCV1" s="434"/>
      <c r="NCW1" s="434"/>
      <c r="NCX1" s="434"/>
      <c r="NCY1" s="434"/>
      <c r="NCZ1" s="434"/>
      <c r="NDA1" s="434"/>
      <c r="NDB1" s="434"/>
      <c r="NDC1" s="434"/>
      <c r="NDD1" s="434"/>
      <c r="NDE1" s="434"/>
      <c r="NDF1" s="434"/>
      <c r="NDG1" s="434"/>
      <c r="NDH1" s="434"/>
      <c r="NDI1" s="434"/>
      <c r="NDJ1" s="434"/>
      <c r="NDK1" s="434"/>
      <c r="NDL1" s="434"/>
      <c r="NDM1" s="434"/>
      <c r="NDN1" s="434"/>
      <c r="NDO1" s="434"/>
      <c r="NDP1" s="434"/>
      <c r="NDQ1" s="434"/>
      <c r="NDR1" s="434"/>
      <c r="NDS1" s="434"/>
      <c r="NDT1" s="434"/>
      <c r="NDU1" s="434"/>
      <c r="NDV1" s="434"/>
      <c r="NDW1" s="434"/>
      <c r="NDX1" s="434"/>
      <c r="NDY1" s="434"/>
      <c r="NDZ1" s="434"/>
      <c r="NEA1" s="434"/>
      <c r="NEB1" s="434"/>
      <c r="NEC1" s="434"/>
      <c r="NED1" s="434"/>
      <c r="NEE1" s="434"/>
      <c r="NEF1" s="434"/>
      <c r="NEG1" s="434"/>
      <c r="NEH1" s="434"/>
      <c r="NEI1" s="434"/>
      <c r="NEJ1" s="434"/>
      <c r="NEK1" s="434"/>
      <c r="NEL1" s="434"/>
      <c r="NEM1" s="434"/>
      <c r="NEN1" s="434"/>
      <c r="NEO1" s="434"/>
      <c r="NEP1" s="434"/>
      <c r="NEQ1" s="434"/>
      <c r="NER1" s="434"/>
      <c r="NES1" s="434"/>
      <c r="NET1" s="434"/>
      <c r="NEU1" s="434"/>
      <c r="NEV1" s="434"/>
      <c r="NEW1" s="434"/>
      <c r="NEX1" s="434"/>
      <c r="NEY1" s="434"/>
      <c r="NEZ1" s="434"/>
      <c r="NFA1" s="434"/>
      <c r="NFB1" s="434"/>
      <c r="NFC1" s="434"/>
      <c r="NFD1" s="434"/>
      <c r="NFE1" s="434"/>
      <c r="NFF1" s="434"/>
      <c r="NFG1" s="434"/>
      <c r="NFH1" s="434"/>
      <c r="NFI1" s="434"/>
      <c r="NFJ1" s="434"/>
      <c r="NFK1" s="434"/>
      <c r="NFL1" s="434"/>
      <c r="NFM1" s="434"/>
      <c r="NFN1" s="434"/>
      <c r="NFO1" s="434"/>
      <c r="NFP1" s="434"/>
      <c r="NFQ1" s="434"/>
      <c r="NFR1" s="434"/>
      <c r="NFS1" s="434"/>
      <c r="NFT1" s="434"/>
      <c r="NFU1" s="434"/>
      <c r="NFV1" s="434"/>
      <c r="NFW1" s="434"/>
      <c r="NFX1" s="434"/>
      <c r="NFY1" s="434"/>
      <c r="NFZ1" s="434"/>
      <c r="NGA1" s="434"/>
      <c r="NGB1" s="434"/>
      <c r="NGC1" s="434"/>
      <c r="NGD1" s="434"/>
      <c r="NGE1" s="434"/>
      <c r="NGF1" s="434"/>
      <c r="NGG1" s="434"/>
      <c r="NGH1" s="434"/>
      <c r="NGI1" s="434"/>
      <c r="NGJ1" s="434"/>
      <c r="NGK1" s="434"/>
      <c r="NGL1" s="434"/>
      <c r="NGM1" s="434"/>
      <c r="NGN1" s="434"/>
      <c r="NGO1" s="434"/>
      <c r="NGP1" s="434"/>
      <c r="NGQ1" s="434"/>
      <c r="NGR1" s="434"/>
      <c r="NGS1" s="434"/>
      <c r="NGT1" s="434"/>
      <c r="NGU1" s="434"/>
      <c r="NGV1" s="434"/>
      <c r="NGW1" s="434"/>
      <c r="NGX1" s="434"/>
      <c r="NGY1" s="434"/>
      <c r="NGZ1" s="434"/>
      <c r="NHA1" s="434"/>
      <c r="NHB1" s="434"/>
      <c r="NHC1" s="434"/>
      <c r="NHD1" s="434"/>
      <c r="NHE1" s="434"/>
      <c r="NHF1" s="434"/>
      <c r="NHG1" s="434"/>
      <c r="NHH1" s="434"/>
      <c r="NHI1" s="434"/>
      <c r="NHJ1" s="434"/>
      <c r="NHK1" s="434"/>
      <c r="NHL1" s="434"/>
      <c r="NHM1" s="434"/>
      <c r="NHN1" s="434"/>
      <c r="NHO1" s="434"/>
      <c r="NHP1" s="434"/>
      <c r="NHQ1" s="434"/>
      <c r="NHR1" s="434"/>
      <c r="NHS1" s="434"/>
      <c r="NHT1" s="434"/>
      <c r="NHU1" s="434"/>
      <c r="NHV1" s="434"/>
      <c r="NHW1" s="434"/>
      <c r="NHX1" s="434"/>
      <c r="NHY1" s="434"/>
      <c r="NHZ1" s="434"/>
      <c r="NIA1" s="434"/>
      <c r="NIB1" s="434"/>
      <c r="NIC1" s="434"/>
      <c r="NID1" s="434"/>
      <c r="NIE1" s="434"/>
      <c r="NIF1" s="434"/>
      <c r="NIG1" s="434"/>
      <c r="NIH1" s="434"/>
      <c r="NII1" s="434"/>
      <c r="NIJ1" s="434"/>
      <c r="NIK1" s="434"/>
      <c r="NIL1" s="434"/>
      <c r="NIM1" s="434"/>
      <c r="NIN1" s="434"/>
      <c r="NIO1" s="434"/>
      <c r="NIP1" s="434"/>
      <c r="NIQ1" s="434"/>
      <c r="NIR1" s="434"/>
      <c r="NIS1" s="434"/>
      <c r="NIT1" s="434"/>
      <c r="NIU1" s="434"/>
      <c r="NIV1" s="434"/>
      <c r="NIW1" s="434"/>
      <c r="NIX1" s="434"/>
      <c r="NIY1" s="434"/>
      <c r="NIZ1" s="434"/>
      <c r="NJA1" s="434"/>
      <c r="NJB1" s="434"/>
      <c r="NJC1" s="434"/>
      <c r="NJD1" s="434"/>
      <c r="NJE1" s="434"/>
      <c r="NJF1" s="434"/>
      <c r="NJG1" s="434"/>
      <c r="NJH1" s="434"/>
      <c r="NJI1" s="434"/>
      <c r="NJJ1" s="434"/>
      <c r="NJK1" s="434"/>
      <c r="NJL1" s="434"/>
      <c r="NJM1" s="434"/>
      <c r="NJN1" s="434"/>
      <c r="NJO1" s="434"/>
      <c r="NJP1" s="434"/>
      <c r="NJQ1" s="434"/>
      <c r="NJR1" s="434"/>
      <c r="NJS1" s="434"/>
      <c r="NJT1" s="434"/>
      <c r="NJU1" s="434"/>
      <c r="NJV1" s="434"/>
      <c r="NJW1" s="434"/>
      <c r="NJX1" s="434"/>
      <c r="NJY1" s="434"/>
      <c r="NJZ1" s="434"/>
      <c r="NKA1" s="434"/>
      <c r="NKB1" s="434"/>
      <c r="NKC1" s="434"/>
      <c r="NKD1" s="434"/>
      <c r="NKE1" s="434"/>
      <c r="NKF1" s="434"/>
      <c r="NKG1" s="434"/>
      <c r="NKH1" s="434"/>
      <c r="NKI1" s="434"/>
      <c r="NKJ1" s="434"/>
      <c r="NKK1" s="434"/>
      <c r="NKL1" s="434"/>
      <c r="NKM1" s="434"/>
      <c r="NKN1" s="434"/>
      <c r="NKO1" s="434"/>
      <c r="NKP1" s="434"/>
      <c r="NKQ1" s="434"/>
      <c r="NKR1" s="434"/>
      <c r="NKS1" s="434"/>
      <c r="NKT1" s="434"/>
      <c r="NKU1" s="434"/>
      <c r="NKV1" s="434"/>
      <c r="NKW1" s="434"/>
      <c r="NKX1" s="434"/>
      <c r="NKY1" s="434"/>
      <c r="NKZ1" s="434"/>
      <c r="NLA1" s="434"/>
      <c r="NLB1" s="434"/>
      <c r="NLC1" s="434"/>
      <c r="NLD1" s="434"/>
      <c r="NLE1" s="434"/>
      <c r="NLF1" s="434"/>
      <c r="NLG1" s="434"/>
      <c r="NLH1" s="434"/>
      <c r="NLI1" s="434"/>
      <c r="NLJ1" s="434"/>
      <c r="NLK1" s="434"/>
      <c r="NLL1" s="434"/>
      <c r="NLM1" s="434"/>
      <c r="NLN1" s="434"/>
      <c r="NLO1" s="434"/>
      <c r="NLP1" s="434"/>
      <c r="NLQ1" s="434"/>
      <c r="NLR1" s="434"/>
      <c r="NLS1" s="434"/>
      <c r="NLT1" s="434"/>
      <c r="NLU1" s="434"/>
      <c r="NLV1" s="434"/>
      <c r="NLW1" s="434"/>
      <c r="NLX1" s="434"/>
      <c r="NLY1" s="434"/>
      <c r="NLZ1" s="434"/>
      <c r="NMA1" s="434"/>
      <c r="NMB1" s="434"/>
      <c r="NMC1" s="434"/>
      <c r="NMD1" s="434"/>
      <c r="NME1" s="434"/>
      <c r="NMF1" s="434"/>
      <c r="NMG1" s="434"/>
      <c r="NMH1" s="434"/>
      <c r="NMI1" s="434"/>
      <c r="NMJ1" s="434"/>
      <c r="NMK1" s="434"/>
      <c r="NML1" s="434"/>
      <c r="NMM1" s="434"/>
      <c r="NMN1" s="434"/>
      <c r="NMO1" s="434"/>
      <c r="NMP1" s="434"/>
      <c r="NMQ1" s="434"/>
      <c r="NMR1" s="434"/>
      <c r="NMS1" s="434"/>
      <c r="NMT1" s="434"/>
      <c r="NMU1" s="434"/>
      <c r="NMV1" s="434"/>
      <c r="NMW1" s="434"/>
      <c r="NMX1" s="434"/>
      <c r="NMY1" s="434"/>
      <c r="NMZ1" s="434"/>
      <c r="NNA1" s="434"/>
      <c r="NNB1" s="434"/>
      <c r="NNC1" s="434"/>
      <c r="NND1" s="434"/>
      <c r="NNE1" s="434"/>
      <c r="NNF1" s="434"/>
      <c r="NNG1" s="434"/>
      <c r="NNH1" s="434"/>
      <c r="NNI1" s="434"/>
      <c r="NNJ1" s="434"/>
      <c r="NNK1" s="434"/>
      <c r="NNL1" s="434"/>
      <c r="NNM1" s="434"/>
      <c r="NNN1" s="434"/>
      <c r="NNO1" s="434"/>
      <c r="NNP1" s="434"/>
      <c r="NNQ1" s="434"/>
      <c r="NNR1" s="434"/>
      <c r="NNS1" s="434"/>
      <c r="NNT1" s="434"/>
      <c r="NNU1" s="434"/>
      <c r="NNV1" s="434"/>
      <c r="NNW1" s="434"/>
      <c r="NNX1" s="434"/>
      <c r="NNY1" s="434"/>
      <c r="NNZ1" s="434"/>
      <c r="NOA1" s="434"/>
      <c r="NOB1" s="434"/>
      <c r="NOC1" s="434"/>
      <c r="NOD1" s="434"/>
      <c r="NOE1" s="434"/>
      <c r="NOF1" s="434"/>
      <c r="NOG1" s="434"/>
      <c r="NOH1" s="434"/>
      <c r="NOI1" s="434"/>
      <c r="NOJ1" s="434"/>
      <c r="NOK1" s="434"/>
      <c r="NOL1" s="434"/>
      <c r="NOM1" s="434"/>
      <c r="NON1" s="434"/>
      <c r="NOO1" s="434"/>
      <c r="NOP1" s="434"/>
      <c r="NOQ1" s="434"/>
      <c r="NOR1" s="434"/>
      <c r="NOS1" s="434"/>
      <c r="NOT1" s="434"/>
      <c r="NOU1" s="434"/>
      <c r="NOV1" s="434"/>
      <c r="NOW1" s="434"/>
      <c r="NOX1" s="434"/>
      <c r="NOY1" s="434"/>
      <c r="NOZ1" s="434"/>
      <c r="NPA1" s="434"/>
      <c r="NPB1" s="434"/>
      <c r="NPC1" s="434"/>
      <c r="NPD1" s="434"/>
      <c r="NPE1" s="434"/>
      <c r="NPF1" s="434"/>
      <c r="NPG1" s="434"/>
      <c r="NPH1" s="434"/>
      <c r="NPI1" s="434"/>
      <c r="NPJ1" s="434"/>
      <c r="NPK1" s="434"/>
      <c r="NPL1" s="434"/>
      <c r="NPM1" s="434"/>
      <c r="NPN1" s="434"/>
      <c r="NPO1" s="434"/>
      <c r="NPP1" s="434"/>
      <c r="NPQ1" s="434"/>
      <c r="NPR1" s="434"/>
      <c r="NPS1" s="434"/>
      <c r="NPT1" s="434"/>
      <c r="NPU1" s="434"/>
      <c r="NPV1" s="434"/>
      <c r="NPW1" s="434"/>
      <c r="NPX1" s="434"/>
      <c r="NPY1" s="434"/>
      <c r="NPZ1" s="434"/>
      <c r="NQA1" s="434"/>
      <c r="NQB1" s="434"/>
      <c r="NQC1" s="434"/>
      <c r="NQD1" s="434"/>
      <c r="NQE1" s="434"/>
      <c r="NQF1" s="434"/>
      <c r="NQG1" s="434"/>
      <c r="NQH1" s="434"/>
      <c r="NQI1" s="434"/>
      <c r="NQJ1" s="434"/>
      <c r="NQK1" s="434"/>
      <c r="NQL1" s="434"/>
      <c r="NQM1" s="434"/>
      <c r="NQN1" s="434"/>
      <c r="NQO1" s="434"/>
      <c r="NQP1" s="434"/>
      <c r="NQQ1" s="434"/>
      <c r="NQR1" s="434"/>
      <c r="NQS1" s="434"/>
      <c r="NQT1" s="434"/>
      <c r="NQU1" s="434"/>
      <c r="NQV1" s="434"/>
      <c r="NQW1" s="434"/>
      <c r="NQX1" s="434"/>
      <c r="NQY1" s="434"/>
      <c r="NQZ1" s="434"/>
      <c r="NRA1" s="434"/>
      <c r="NRB1" s="434"/>
      <c r="NRC1" s="434"/>
      <c r="NRD1" s="434"/>
      <c r="NRE1" s="434"/>
      <c r="NRF1" s="434"/>
      <c r="NRG1" s="434"/>
      <c r="NRH1" s="434"/>
      <c r="NRI1" s="434"/>
      <c r="NRJ1" s="434"/>
      <c r="NRK1" s="434"/>
      <c r="NRL1" s="434"/>
      <c r="NRM1" s="434"/>
      <c r="NRN1" s="434"/>
      <c r="NRO1" s="434"/>
      <c r="NRP1" s="434"/>
      <c r="NRQ1" s="434"/>
      <c r="NRR1" s="434"/>
      <c r="NRS1" s="434"/>
      <c r="NRT1" s="434"/>
      <c r="NRU1" s="434"/>
      <c r="NRV1" s="434"/>
      <c r="NRW1" s="434"/>
      <c r="NRX1" s="434"/>
      <c r="NRY1" s="434"/>
      <c r="NRZ1" s="434"/>
      <c r="NSA1" s="434"/>
      <c r="NSB1" s="434"/>
      <c r="NSC1" s="434"/>
      <c r="NSD1" s="434"/>
      <c r="NSE1" s="434"/>
      <c r="NSF1" s="434"/>
      <c r="NSG1" s="434"/>
      <c r="NSH1" s="434"/>
      <c r="NSI1" s="434"/>
      <c r="NSJ1" s="434"/>
      <c r="NSK1" s="434"/>
      <c r="NSL1" s="434"/>
      <c r="NSM1" s="434"/>
      <c r="NSN1" s="434"/>
      <c r="NSO1" s="434"/>
      <c r="NSP1" s="434"/>
      <c r="NSQ1" s="434"/>
      <c r="NSR1" s="434"/>
      <c r="NSS1" s="434"/>
      <c r="NST1" s="434"/>
      <c r="NSU1" s="434"/>
      <c r="NSV1" s="434"/>
      <c r="NSW1" s="434"/>
      <c r="NSX1" s="434"/>
      <c r="NSY1" s="434"/>
      <c r="NSZ1" s="434"/>
      <c r="NTA1" s="434"/>
      <c r="NTB1" s="434"/>
      <c r="NTC1" s="434"/>
      <c r="NTD1" s="434"/>
      <c r="NTE1" s="434"/>
      <c r="NTF1" s="434"/>
      <c r="NTG1" s="434"/>
      <c r="NTH1" s="434"/>
      <c r="NTI1" s="434"/>
      <c r="NTJ1" s="434"/>
      <c r="NTK1" s="434"/>
      <c r="NTL1" s="434"/>
      <c r="NTM1" s="434"/>
      <c r="NTN1" s="434"/>
      <c r="NTO1" s="434"/>
      <c r="NTP1" s="434"/>
      <c r="NTQ1" s="434"/>
      <c r="NTR1" s="434"/>
      <c r="NTS1" s="434"/>
      <c r="NTT1" s="434"/>
      <c r="NTU1" s="434"/>
      <c r="NTV1" s="434"/>
      <c r="NTW1" s="434"/>
      <c r="NTX1" s="434"/>
      <c r="NTY1" s="434"/>
      <c r="NTZ1" s="434"/>
      <c r="NUA1" s="434"/>
      <c r="NUB1" s="434"/>
      <c r="NUC1" s="434"/>
      <c r="NUD1" s="434"/>
      <c r="NUE1" s="434"/>
      <c r="NUF1" s="434"/>
      <c r="NUG1" s="434"/>
      <c r="NUH1" s="434"/>
      <c r="NUI1" s="434"/>
      <c r="NUJ1" s="434"/>
      <c r="NUK1" s="434"/>
      <c r="NUL1" s="434"/>
      <c r="NUM1" s="434"/>
      <c r="NUN1" s="434"/>
      <c r="NUO1" s="434"/>
      <c r="NUP1" s="434"/>
      <c r="NUQ1" s="434"/>
      <c r="NUR1" s="434"/>
      <c r="NUS1" s="434"/>
      <c r="NUT1" s="434"/>
      <c r="NUU1" s="434"/>
      <c r="NUV1" s="434"/>
      <c r="NUW1" s="434"/>
      <c r="NUX1" s="434"/>
      <c r="NUY1" s="434"/>
      <c r="NUZ1" s="434"/>
      <c r="NVA1" s="434"/>
      <c r="NVB1" s="434"/>
      <c r="NVC1" s="434"/>
      <c r="NVD1" s="434"/>
      <c r="NVE1" s="434"/>
      <c r="NVF1" s="434"/>
      <c r="NVG1" s="434"/>
      <c r="NVH1" s="434"/>
      <c r="NVI1" s="434"/>
      <c r="NVJ1" s="434"/>
      <c r="NVK1" s="434"/>
      <c r="NVL1" s="434"/>
      <c r="NVM1" s="434"/>
      <c r="NVN1" s="434"/>
      <c r="NVO1" s="434"/>
      <c r="NVP1" s="434"/>
      <c r="NVQ1" s="434"/>
      <c r="NVR1" s="434"/>
      <c r="NVS1" s="434"/>
      <c r="NVT1" s="434"/>
      <c r="NVU1" s="434"/>
      <c r="NVV1" s="434"/>
      <c r="NVW1" s="434"/>
      <c r="NVX1" s="434"/>
      <c r="NVY1" s="434"/>
      <c r="NVZ1" s="434"/>
      <c r="NWA1" s="434"/>
      <c r="NWB1" s="434"/>
      <c r="NWC1" s="434"/>
      <c r="NWD1" s="434"/>
      <c r="NWE1" s="434"/>
      <c r="NWF1" s="434"/>
      <c r="NWG1" s="434"/>
      <c r="NWH1" s="434"/>
      <c r="NWI1" s="434"/>
      <c r="NWJ1" s="434"/>
      <c r="NWK1" s="434"/>
      <c r="NWL1" s="434"/>
      <c r="NWM1" s="434"/>
      <c r="NWN1" s="434"/>
      <c r="NWO1" s="434"/>
      <c r="NWP1" s="434"/>
      <c r="NWQ1" s="434"/>
      <c r="NWR1" s="434"/>
      <c r="NWS1" s="434"/>
      <c r="NWT1" s="434"/>
      <c r="NWU1" s="434"/>
      <c r="NWV1" s="434"/>
      <c r="NWW1" s="434"/>
      <c r="NWX1" s="434"/>
      <c r="NWY1" s="434"/>
      <c r="NWZ1" s="434"/>
      <c r="NXA1" s="434"/>
      <c r="NXB1" s="434"/>
      <c r="NXC1" s="434"/>
      <c r="NXD1" s="434"/>
      <c r="NXE1" s="434"/>
      <c r="NXF1" s="434"/>
      <c r="NXG1" s="434"/>
      <c r="NXH1" s="434"/>
      <c r="NXI1" s="434"/>
      <c r="NXJ1" s="434"/>
      <c r="NXK1" s="434"/>
      <c r="NXL1" s="434"/>
      <c r="NXM1" s="434"/>
      <c r="NXN1" s="434"/>
      <c r="NXO1" s="434"/>
      <c r="NXP1" s="434"/>
      <c r="NXQ1" s="434"/>
      <c r="NXR1" s="434"/>
      <c r="NXS1" s="434"/>
      <c r="NXT1" s="434"/>
      <c r="NXU1" s="434"/>
      <c r="NXV1" s="434"/>
      <c r="NXW1" s="434"/>
      <c r="NXX1" s="434"/>
      <c r="NXY1" s="434"/>
      <c r="NXZ1" s="434"/>
      <c r="NYA1" s="434"/>
      <c r="NYB1" s="434"/>
      <c r="NYC1" s="434"/>
      <c r="NYD1" s="434"/>
      <c r="NYE1" s="434"/>
      <c r="NYF1" s="434"/>
      <c r="NYG1" s="434"/>
      <c r="NYH1" s="434"/>
      <c r="NYI1" s="434"/>
      <c r="NYJ1" s="434"/>
      <c r="NYK1" s="434"/>
      <c r="NYL1" s="434"/>
      <c r="NYM1" s="434"/>
      <c r="NYN1" s="434"/>
      <c r="NYO1" s="434"/>
      <c r="NYP1" s="434"/>
      <c r="NYQ1" s="434"/>
      <c r="NYR1" s="434"/>
      <c r="NYS1" s="434"/>
      <c r="NYT1" s="434"/>
      <c r="NYU1" s="434"/>
      <c r="NYV1" s="434"/>
      <c r="NYW1" s="434"/>
      <c r="NYX1" s="434"/>
      <c r="NYY1" s="434"/>
      <c r="NYZ1" s="434"/>
      <c r="NZA1" s="434"/>
      <c r="NZB1" s="434"/>
      <c r="NZC1" s="434"/>
      <c r="NZD1" s="434"/>
      <c r="NZE1" s="434"/>
      <c r="NZF1" s="434"/>
      <c r="NZG1" s="434"/>
      <c r="NZH1" s="434"/>
      <c r="NZI1" s="434"/>
      <c r="NZJ1" s="434"/>
      <c r="NZK1" s="434"/>
      <c r="NZL1" s="434"/>
      <c r="NZM1" s="434"/>
      <c r="NZN1" s="434"/>
      <c r="NZO1" s="434"/>
      <c r="NZP1" s="434"/>
      <c r="NZQ1" s="434"/>
      <c r="NZR1" s="434"/>
      <c r="NZS1" s="434"/>
      <c r="NZT1" s="434"/>
      <c r="NZU1" s="434"/>
      <c r="NZV1" s="434"/>
      <c r="NZW1" s="434"/>
      <c r="NZX1" s="434"/>
      <c r="NZY1" s="434"/>
      <c r="NZZ1" s="434"/>
      <c r="OAA1" s="434"/>
      <c r="OAB1" s="434"/>
      <c r="OAC1" s="434"/>
      <c r="OAD1" s="434"/>
      <c r="OAE1" s="434"/>
      <c r="OAF1" s="434"/>
      <c r="OAG1" s="434"/>
      <c r="OAH1" s="434"/>
      <c r="OAI1" s="434"/>
      <c r="OAJ1" s="434"/>
      <c r="OAK1" s="434"/>
      <c r="OAL1" s="434"/>
      <c r="OAM1" s="434"/>
      <c r="OAN1" s="434"/>
      <c r="OAO1" s="434"/>
      <c r="OAP1" s="434"/>
      <c r="OAQ1" s="434"/>
      <c r="OAR1" s="434"/>
      <c r="OAS1" s="434"/>
      <c r="OAT1" s="434"/>
      <c r="OAU1" s="434"/>
      <c r="OAV1" s="434"/>
      <c r="OAW1" s="434"/>
      <c r="OAX1" s="434"/>
      <c r="OAY1" s="434"/>
      <c r="OAZ1" s="434"/>
      <c r="OBA1" s="434"/>
      <c r="OBB1" s="434"/>
      <c r="OBC1" s="434"/>
      <c r="OBD1" s="434"/>
      <c r="OBE1" s="434"/>
      <c r="OBF1" s="434"/>
      <c r="OBG1" s="434"/>
      <c r="OBH1" s="434"/>
      <c r="OBI1" s="434"/>
      <c r="OBJ1" s="434"/>
      <c r="OBK1" s="434"/>
      <c r="OBL1" s="434"/>
      <c r="OBM1" s="434"/>
      <c r="OBN1" s="434"/>
      <c r="OBO1" s="434"/>
      <c r="OBP1" s="434"/>
      <c r="OBQ1" s="434"/>
      <c r="OBR1" s="434"/>
      <c r="OBS1" s="434"/>
      <c r="OBT1" s="434"/>
      <c r="OBU1" s="434"/>
      <c r="OBV1" s="434"/>
      <c r="OBW1" s="434"/>
      <c r="OBX1" s="434"/>
      <c r="OBY1" s="434"/>
      <c r="OBZ1" s="434"/>
      <c r="OCA1" s="434"/>
      <c r="OCB1" s="434"/>
      <c r="OCC1" s="434"/>
      <c r="OCD1" s="434"/>
      <c r="OCE1" s="434"/>
      <c r="OCF1" s="434"/>
      <c r="OCG1" s="434"/>
      <c r="OCH1" s="434"/>
      <c r="OCI1" s="434"/>
      <c r="OCJ1" s="434"/>
      <c r="OCK1" s="434"/>
      <c r="OCL1" s="434"/>
      <c r="OCM1" s="434"/>
      <c r="OCN1" s="434"/>
      <c r="OCO1" s="434"/>
      <c r="OCP1" s="434"/>
      <c r="OCQ1" s="434"/>
      <c r="OCR1" s="434"/>
      <c r="OCS1" s="434"/>
      <c r="OCT1" s="434"/>
      <c r="OCU1" s="434"/>
      <c r="OCV1" s="434"/>
      <c r="OCW1" s="434"/>
      <c r="OCX1" s="434"/>
      <c r="OCY1" s="434"/>
      <c r="OCZ1" s="434"/>
      <c r="ODA1" s="434"/>
      <c r="ODB1" s="434"/>
      <c r="ODC1" s="434"/>
      <c r="ODD1" s="434"/>
      <c r="ODE1" s="434"/>
      <c r="ODF1" s="434"/>
      <c r="ODG1" s="434"/>
      <c r="ODH1" s="434"/>
      <c r="ODI1" s="434"/>
      <c r="ODJ1" s="434"/>
      <c r="ODK1" s="434"/>
      <c r="ODL1" s="434"/>
      <c r="ODM1" s="434"/>
      <c r="ODN1" s="434"/>
      <c r="ODO1" s="434"/>
      <c r="ODP1" s="434"/>
      <c r="ODQ1" s="434"/>
      <c r="ODR1" s="434"/>
      <c r="ODS1" s="434"/>
      <c r="ODT1" s="434"/>
      <c r="ODU1" s="434"/>
      <c r="ODV1" s="434"/>
      <c r="ODW1" s="434"/>
      <c r="ODX1" s="434"/>
      <c r="ODY1" s="434"/>
      <c r="ODZ1" s="434"/>
      <c r="OEA1" s="434"/>
      <c r="OEB1" s="434"/>
      <c r="OEC1" s="434"/>
      <c r="OED1" s="434"/>
      <c r="OEE1" s="434"/>
      <c r="OEF1" s="434"/>
      <c r="OEG1" s="434"/>
      <c r="OEH1" s="434"/>
      <c r="OEI1" s="434"/>
      <c r="OEJ1" s="434"/>
      <c r="OEK1" s="434"/>
      <c r="OEL1" s="434"/>
      <c r="OEM1" s="434"/>
      <c r="OEN1" s="434"/>
      <c r="OEO1" s="434"/>
      <c r="OEP1" s="434"/>
      <c r="OEQ1" s="434"/>
      <c r="OER1" s="434"/>
      <c r="OES1" s="434"/>
      <c r="OET1" s="434"/>
      <c r="OEU1" s="434"/>
      <c r="OEV1" s="434"/>
      <c r="OEW1" s="434"/>
      <c r="OEX1" s="434"/>
      <c r="OEY1" s="434"/>
      <c r="OEZ1" s="434"/>
      <c r="OFA1" s="434"/>
      <c r="OFB1" s="434"/>
      <c r="OFC1" s="434"/>
      <c r="OFD1" s="434"/>
      <c r="OFE1" s="434"/>
      <c r="OFF1" s="434"/>
      <c r="OFG1" s="434"/>
      <c r="OFH1" s="434"/>
      <c r="OFI1" s="434"/>
      <c r="OFJ1" s="434"/>
      <c r="OFK1" s="434"/>
      <c r="OFL1" s="434"/>
      <c r="OFM1" s="434"/>
      <c r="OFN1" s="434"/>
      <c r="OFO1" s="434"/>
      <c r="OFP1" s="434"/>
      <c r="OFQ1" s="434"/>
      <c r="OFR1" s="434"/>
      <c r="OFS1" s="434"/>
      <c r="OFT1" s="434"/>
      <c r="OFU1" s="434"/>
      <c r="OFV1" s="434"/>
      <c r="OFW1" s="434"/>
      <c r="OFX1" s="434"/>
      <c r="OFY1" s="434"/>
      <c r="OFZ1" s="434"/>
      <c r="OGA1" s="434"/>
      <c r="OGB1" s="434"/>
      <c r="OGC1" s="434"/>
      <c r="OGD1" s="434"/>
      <c r="OGE1" s="434"/>
      <c r="OGF1" s="434"/>
      <c r="OGG1" s="434"/>
      <c r="OGH1" s="434"/>
      <c r="OGI1" s="434"/>
      <c r="OGJ1" s="434"/>
      <c r="OGK1" s="434"/>
      <c r="OGL1" s="434"/>
      <c r="OGM1" s="434"/>
      <c r="OGN1" s="434"/>
      <c r="OGO1" s="434"/>
      <c r="OGP1" s="434"/>
      <c r="OGQ1" s="434"/>
      <c r="OGR1" s="434"/>
      <c r="OGS1" s="434"/>
      <c r="OGT1" s="434"/>
      <c r="OGU1" s="434"/>
      <c r="OGV1" s="434"/>
      <c r="OGW1" s="434"/>
      <c r="OGX1" s="434"/>
      <c r="OGY1" s="434"/>
      <c r="OGZ1" s="434"/>
      <c r="OHA1" s="434"/>
      <c r="OHB1" s="434"/>
      <c r="OHC1" s="434"/>
      <c r="OHD1" s="434"/>
      <c r="OHE1" s="434"/>
      <c r="OHF1" s="434"/>
      <c r="OHG1" s="434"/>
      <c r="OHH1" s="434"/>
      <c r="OHI1" s="434"/>
      <c r="OHJ1" s="434"/>
      <c r="OHK1" s="434"/>
      <c r="OHL1" s="434"/>
      <c r="OHM1" s="434"/>
      <c r="OHN1" s="434"/>
      <c r="OHO1" s="434"/>
      <c r="OHP1" s="434"/>
      <c r="OHQ1" s="434"/>
      <c r="OHR1" s="434"/>
      <c r="OHS1" s="434"/>
      <c r="OHT1" s="434"/>
      <c r="OHU1" s="434"/>
      <c r="OHV1" s="434"/>
      <c r="OHW1" s="434"/>
      <c r="OHX1" s="434"/>
      <c r="OHY1" s="434"/>
      <c r="OHZ1" s="434"/>
      <c r="OIA1" s="434"/>
      <c r="OIB1" s="434"/>
      <c r="OIC1" s="434"/>
      <c r="OID1" s="434"/>
      <c r="OIE1" s="434"/>
      <c r="OIF1" s="434"/>
      <c r="OIG1" s="434"/>
      <c r="OIH1" s="434"/>
      <c r="OII1" s="434"/>
      <c r="OIJ1" s="434"/>
      <c r="OIK1" s="434"/>
      <c r="OIL1" s="434"/>
      <c r="OIM1" s="434"/>
      <c r="OIN1" s="434"/>
      <c r="OIO1" s="434"/>
      <c r="OIP1" s="434"/>
      <c r="OIQ1" s="434"/>
      <c r="OIR1" s="434"/>
      <c r="OIS1" s="434"/>
      <c r="OIT1" s="434"/>
      <c r="OIU1" s="434"/>
      <c r="OIV1" s="434"/>
      <c r="OIW1" s="434"/>
      <c r="OIX1" s="434"/>
      <c r="OIY1" s="434"/>
      <c r="OIZ1" s="434"/>
      <c r="OJA1" s="434"/>
      <c r="OJB1" s="434"/>
      <c r="OJC1" s="434"/>
      <c r="OJD1" s="434"/>
      <c r="OJE1" s="434"/>
      <c r="OJF1" s="434"/>
      <c r="OJG1" s="434"/>
      <c r="OJH1" s="434"/>
      <c r="OJI1" s="434"/>
      <c r="OJJ1" s="434"/>
      <c r="OJK1" s="434"/>
      <c r="OJL1" s="434"/>
      <c r="OJM1" s="434"/>
      <c r="OJN1" s="434"/>
      <c r="OJO1" s="434"/>
      <c r="OJP1" s="434"/>
      <c r="OJQ1" s="434"/>
      <c r="OJR1" s="434"/>
      <c r="OJS1" s="434"/>
      <c r="OJT1" s="434"/>
      <c r="OJU1" s="434"/>
      <c r="OJV1" s="434"/>
      <c r="OJW1" s="434"/>
      <c r="OJX1" s="434"/>
      <c r="OJY1" s="434"/>
      <c r="OJZ1" s="434"/>
      <c r="OKA1" s="434"/>
      <c r="OKB1" s="434"/>
      <c r="OKC1" s="434"/>
      <c r="OKD1" s="434"/>
      <c r="OKE1" s="434"/>
      <c r="OKF1" s="434"/>
      <c r="OKG1" s="434"/>
      <c r="OKH1" s="434"/>
      <c r="OKI1" s="434"/>
      <c r="OKJ1" s="434"/>
      <c r="OKK1" s="434"/>
      <c r="OKL1" s="434"/>
      <c r="OKM1" s="434"/>
      <c r="OKN1" s="434"/>
      <c r="OKO1" s="434"/>
      <c r="OKP1" s="434"/>
      <c r="OKQ1" s="434"/>
      <c r="OKR1" s="434"/>
      <c r="OKS1" s="434"/>
      <c r="OKT1" s="434"/>
      <c r="OKU1" s="434"/>
      <c r="OKV1" s="434"/>
      <c r="OKW1" s="434"/>
      <c r="OKX1" s="434"/>
      <c r="OKY1" s="434"/>
      <c r="OKZ1" s="434"/>
      <c r="OLA1" s="434"/>
      <c r="OLB1" s="434"/>
      <c r="OLC1" s="434"/>
      <c r="OLD1" s="434"/>
      <c r="OLE1" s="434"/>
      <c r="OLF1" s="434"/>
      <c r="OLG1" s="434"/>
      <c r="OLH1" s="434"/>
      <c r="OLI1" s="434"/>
      <c r="OLJ1" s="434"/>
      <c r="OLK1" s="434"/>
      <c r="OLL1" s="434"/>
      <c r="OLM1" s="434"/>
      <c r="OLN1" s="434"/>
      <c r="OLO1" s="434"/>
      <c r="OLP1" s="434"/>
      <c r="OLQ1" s="434"/>
      <c r="OLR1" s="434"/>
      <c r="OLS1" s="434"/>
      <c r="OLT1" s="434"/>
      <c r="OLU1" s="434"/>
      <c r="OLV1" s="434"/>
      <c r="OLW1" s="434"/>
      <c r="OLX1" s="434"/>
      <c r="OLY1" s="434"/>
      <c r="OLZ1" s="434"/>
      <c r="OMA1" s="434"/>
      <c r="OMB1" s="434"/>
      <c r="OMC1" s="434"/>
      <c r="OMD1" s="434"/>
      <c r="OME1" s="434"/>
      <c r="OMF1" s="434"/>
      <c r="OMG1" s="434"/>
      <c r="OMH1" s="434"/>
      <c r="OMI1" s="434"/>
      <c r="OMJ1" s="434"/>
      <c r="OMK1" s="434"/>
      <c r="OML1" s="434"/>
      <c r="OMM1" s="434"/>
      <c r="OMN1" s="434"/>
      <c r="OMO1" s="434"/>
      <c r="OMP1" s="434"/>
      <c r="OMQ1" s="434"/>
      <c r="OMR1" s="434"/>
      <c r="OMS1" s="434"/>
      <c r="OMT1" s="434"/>
      <c r="OMU1" s="434"/>
      <c r="OMV1" s="434"/>
      <c r="OMW1" s="434"/>
      <c r="OMX1" s="434"/>
      <c r="OMY1" s="434"/>
      <c r="OMZ1" s="434"/>
      <c r="ONA1" s="434"/>
      <c r="ONB1" s="434"/>
      <c r="ONC1" s="434"/>
      <c r="OND1" s="434"/>
      <c r="ONE1" s="434"/>
      <c r="ONF1" s="434"/>
      <c r="ONG1" s="434"/>
      <c r="ONH1" s="434"/>
      <c r="ONI1" s="434"/>
      <c r="ONJ1" s="434"/>
      <c r="ONK1" s="434"/>
      <c r="ONL1" s="434"/>
      <c r="ONM1" s="434"/>
      <c r="ONN1" s="434"/>
      <c r="ONO1" s="434"/>
      <c r="ONP1" s="434"/>
      <c r="ONQ1" s="434"/>
      <c r="ONR1" s="434"/>
      <c r="ONS1" s="434"/>
      <c r="ONT1" s="434"/>
      <c r="ONU1" s="434"/>
      <c r="ONV1" s="434"/>
      <c r="ONW1" s="434"/>
      <c r="ONX1" s="434"/>
      <c r="ONY1" s="434"/>
      <c r="ONZ1" s="434"/>
      <c r="OOA1" s="434"/>
      <c r="OOB1" s="434"/>
      <c r="OOC1" s="434"/>
      <c r="OOD1" s="434"/>
      <c r="OOE1" s="434"/>
      <c r="OOF1" s="434"/>
      <c r="OOG1" s="434"/>
      <c r="OOH1" s="434"/>
      <c r="OOI1" s="434"/>
      <c r="OOJ1" s="434"/>
      <c r="OOK1" s="434"/>
      <c r="OOL1" s="434"/>
      <c r="OOM1" s="434"/>
      <c r="OON1" s="434"/>
      <c r="OOO1" s="434"/>
      <c r="OOP1" s="434"/>
      <c r="OOQ1" s="434"/>
      <c r="OOR1" s="434"/>
      <c r="OOS1" s="434"/>
      <c r="OOT1" s="434"/>
      <c r="OOU1" s="434"/>
      <c r="OOV1" s="434"/>
      <c r="OOW1" s="434"/>
      <c r="OOX1" s="434"/>
      <c r="OOY1" s="434"/>
      <c r="OOZ1" s="434"/>
      <c r="OPA1" s="434"/>
      <c r="OPB1" s="434"/>
      <c r="OPC1" s="434"/>
      <c r="OPD1" s="434"/>
      <c r="OPE1" s="434"/>
      <c r="OPF1" s="434"/>
      <c r="OPG1" s="434"/>
      <c r="OPH1" s="434"/>
      <c r="OPI1" s="434"/>
      <c r="OPJ1" s="434"/>
      <c r="OPK1" s="434"/>
      <c r="OPL1" s="434"/>
      <c r="OPM1" s="434"/>
      <c r="OPN1" s="434"/>
      <c r="OPO1" s="434"/>
      <c r="OPP1" s="434"/>
      <c r="OPQ1" s="434"/>
      <c r="OPR1" s="434"/>
      <c r="OPS1" s="434"/>
      <c r="OPT1" s="434"/>
      <c r="OPU1" s="434"/>
      <c r="OPV1" s="434"/>
      <c r="OPW1" s="434"/>
      <c r="OPX1" s="434"/>
      <c r="OPY1" s="434"/>
      <c r="OPZ1" s="434"/>
      <c r="OQA1" s="434"/>
      <c r="OQB1" s="434"/>
      <c r="OQC1" s="434"/>
      <c r="OQD1" s="434"/>
      <c r="OQE1" s="434"/>
      <c r="OQF1" s="434"/>
      <c r="OQG1" s="434"/>
      <c r="OQH1" s="434"/>
      <c r="OQI1" s="434"/>
      <c r="OQJ1" s="434"/>
      <c r="OQK1" s="434"/>
      <c r="OQL1" s="434"/>
      <c r="OQM1" s="434"/>
      <c r="OQN1" s="434"/>
      <c r="OQO1" s="434"/>
      <c r="OQP1" s="434"/>
      <c r="OQQ1" s="434"/>
      <c r="OQR1" s="434"/>
      <c r="OQS1" s="434"/>
      <c r="OQT1" s="434"/>
      <c r="OQU1" s="434"/>
      <c r="OQV1" s="434"/>
      <c r="OQW1" s="434"/>
      <c r="OQX1" s="434"/>
      <c r="OQY1" s="434"/>
      <c r="OQZ1" s="434"/>
      <c r="ORA1" s="434"/>
      <c r="ORB1" s="434"/>
      <c r="ORC1" s="434"/>
      <c r="ORD1" s="434"/>
      <c r="ORE1" s="434"/>
      <c r="ORF1" s="434"/>
      <c r="ORG1" s="434"/>
      <c r="ORH1" s="434"/>
      <c r="ORI1" s="434"/>
      <c r="ORJ1" s="434"/>
      <c r="ORK1" s="434"/>
      <c r="ORL1" s="434"/>
      <c r="ORM1" s="434"/>
      <c r="ORN1" s="434"/>
      <c r="ORO1" s="434"/>
      <c r="ORP1" s="434"/>
      <c r="ORQ1" s="434"/>
      <c r="ORR1" s="434"/>
      <c r="ORS1" s="434"/>
      <c r="ORT1" s="434"/>
      <c r="ORU1" s="434"/>
      <c r="ORV1" s="434"/>
      <c r="ORW1" s="434"/>
      <c r="ORX1" s="434"/>
      <c r="ORY1" s="434"/>
      <c r="ORZ1" s="434"/>
      <c r="OSA1" s="434"/>
      <c r="OSB1" s="434"/>
      <c r="OSC1" s="434"/>
      <c r="OSD1" s="434"/>
      <c r="OSE1" s="434"/>
      <c r="OSF1" s="434"/>
      <c r="OSG1" s="434"/>
      <c r="OSH1" s="434"/>
      <c r="OSI1" s="434"/>
      <c r="OSJ1" s="434"/>
      <c r="OSK1" s="434"/>
      <c r="OSL1" s="434"/>
      <c r="OSM1" s="434"/>
      <c r="OSN1" s="434"/>
      <c r="OSO1" s="434"/>
      <c r="OSP1" s="434"/>
      <c r="OSQ1" s="434"/>
      <c r="OSR1" s="434"/>
      <c r="OSS1" s="434"/>
      <c r="OST1" s="434"/>
      <c r="OSU1" s="434"/>
      <c r="OSV1" s="434"/>
      <c r="OSW1" s="434"/>
      <c r="OSX1" s="434"/>
      <c r="OSY1" s="434"/>
      <c r="OSZ1" s="434"/>
      <c r="OTA1" s="434"/>
      <c r="OTB1" s="434"/>
      <c r="OTC1" s="434"/>
      <c r="OTD1" s="434"/>
      <c r="OTE1" s="434"/>
      <c r="OTF1" s="434"/>
      <c r="OTG1" s="434"/>
      <c r="OTH1" s="434"/>
      <c r="OTI1" s="434"/>
      <c r="OTJ1" s="434"/>
      <c r="OTK1" s="434"/>
      <c r="OTL1" s="434"/>
      <c r="OTM1" s="434"/>
      <c r="OTN1" s="434"/>
      <c r="OTO1" s="434"/>
      <c r="OTP1" s="434"/>
      <c r="OTQ1" s="434"/>
      <c r="OTR1" s="434"/>
      <c r="OTS1" s="434"/>
      <c r="OTT1" s="434"/>
      <c r="OTU1" s="434"/>
      <c r="OTV1" s="434"/>
      <c r="OTW1" s="434"/>
      <c r="OTX1" s="434"/>
      <c r="OTY1" s="434"/>
      <c r="OTZ1" s="434"/>
      <c r="OUA1" s="434"/>
      <c r="OUB1" s="434"/>
      <c r="OUC1" s="434"/>
      <c r="OUD1" s="434"/>
      <c r="OUE1" s="434"/>
      <c r="OUF1" s="434"/>
      <c r="OUG1" s="434"/>
      <c r="OUH1" s="434"/>
      <c r="OUI1" s="434"/>
      <c r="OUJ1" s="434"/>
      <c r="OUK1" s="434"/>
      <c r="OUL1" s="434"/>
      <c r="OUM1" s="434"/>
      <c r="OUN1" s="434"/>
      <c r="OUO1" s="434"/>
      <c r="OUP1" s="434"/>
      <c r="OUQ1" s="434"/>
      <c r="OUR1" s="434"/>
      <c r="OUS1" s="434"/>
      <c r="OUT1" s="434"/>
      <c r="OUU1" s="434"/>
      <c r="OUV1" s="434"/>
      <c r="OUW1" s="434"/>
      <c r="OUX1" s="434"/>
      <c r="OUY1" s="434"/>
      <c r="OUZ1" s="434"/>
      <c r="OVA1" s="434"/>
      <c r="OVB1" s="434"/>
      <c r="OVC1" s="434"/>
      <c r="OVD1" s="434"/>
      <c r="OVE1" s="434"/>
      <c r="OVF1" s="434"/>
      <c r="OVG1" s="434"/>
      <c r="OVH1" s="434"/>
      <c r="OVI1" s="434"/>
      <c r="OVJ1" s="434"/>
      <c r="OVK1" s="434"/>
      <c r="OVL1" s="434"/>
      <c r="OVM1" s="434"/>
      <c r="OVN1" s="434"/>
      <c r="OVO1" s="434"/>
      <c r="OVP1" s="434"/>
      <c r="OVQ1" s="434"/>
      <c r="OVR1" s="434"/>
      <c r="OVS1" s="434"/>
      <c r="OVT1" s="434"/>
      <c r="OVU1" s="434"/>
      <c r="OVV1" s="434"/>
      <c r="OVW1" s="434"/>
      <c r="OVX1" s="434"/>
      <c r="OVY1" s="434"/>
      <c r="OVZ1" s="434"/>
      <c r="OWA1" s="434"/>
      <c r="OWB1" s="434"/>
      <c r="OWC1" s="434"/>
      <c r="OWD1" s="434"/>
      <c r="OWE1" s="434"/>
      <c r="OWF1" s="434"/>
      <c r="OWG1" s="434"/>
      <c r="OWH1" s="434"/>
      <c r="OWI1" s="434"/>
      <c r="OWJ1" s="434"/>
      <c r="OWK1" s="434"/>
      <c r="OWL1" s="434"/>
      <c r="OWM1" s="434"/>
      <c r="OWN1" s="434"/>
      <c r="OWO1" s="434"/>
      <c r="OWP1" s="434"/>
      <c r="OWQ1" s="434"/>
      <c r="OWR1" s="434"/>
      <c r="OWS1" s="434"/>
      <c r="OWT1" s="434"/>
      <c r="OWU1" s="434"/>
      <c r="OWV1" s="434"/>
      <c r="OWW1" s="434"/>
      <c r="OWX1" s="434"/>
      <c r="OWY1" s="434"/>
      <c r="OWZ1" s="434"/>
      <c r="OXA1" s="434"/>
      <c r="OXB1" s="434"/>
      <c r="OXC1" s="434"/>
      <c r="OXD1" s="434"/>
      <c r="OXE1" s="434"/>
      <c r="OXF1" s="434"/>
      <c r="OXG1" s="434"/>
      <c r="OXH1" s="434"/>
      <c r="OXI1" s="434"/>
      <c r="OXJ1" s="434"/>
      <c r="OXK1" s="434"/>
      <c r="OXL1" s="434"/>
      <c r="OXM1" s="434"/>
      <c r="OXN1" s="434"/>
      <c r="OXO1" s="434"/>
      <c r="OXP1" s="434"/>
      <c r="OXQ1" s="434"/>
      <c r="OXR1" s="434"/>
      <c r="OXS1" s="434"/>
      <c r="OXT1" s="434"/>
      <c r="OXU1" s="434"/>
      <c r="OXV1" s="434"/>
      <c r="OXW1" s="434"/>
      <c r="OXX1" s="434"/>
      <c r="OXY1" s="434"/>
      <c r="OXZ1" s="434"/>
      <c r="OYA1" s="434"/>
      <c r="OYB1" s="434"/>
      <c r="OYC1" s="434"/>
      <c r="OYD1" s="434"/>
      <c r="OYE1" s="434"/>
      <c r="OYF1" s="434"/>
      <c r="OYG1" s="434"/>
      <c r="OYH1" s="434"/>
      <c r="OYI1" s="434"/>
      <c r="OYJ1" s="434"/>
      <c r="OYK1" s="434"/>
      <c r="OYL1" s="434"/>
      <c r="OYM1" s="434"/>
      <c r="OYN1" s="434"/>
      <c r="OYO1" s="434"/>
      <c r="OYP1" s="434"/>
      <c r="OYQ1" s="434"/>
      <c r="OYR1" s="434"/>
      <c r="OYS1" s="434"/>
      <c r="OYT1" s="434"/>
      <c r="OYU1" s="434"/>
      <c r="OYV1" s="434"/>
      <c r="OYW1" s="434"/>
      <c r="OYX1" s="434"/>
      <c r="OYY1" s="434"/>
      <c r="OYZ1" s="434"/>
      <c r="OZA1" s="434"/>
      <c r="OZB1" s="434"/>
      <c r="OZC1" s="434"/>
      <c r="OZD1" s="434"/>
      <c r="OZE1" s="434"/>
      <c r="OZF1" s="434"/>
      <c r="OZG1" s="434"/>
      <c r="OZH1" s="434"/>
      <c r="OZI1" s="434"/>
      <c r="OZJ1" s="434"/>
      <c r="OZK1" s="434"/>
      <c r="OZL1" s="434"/>
      <c r="OZM1" s="434"/>
      <c r="OZN1" s="434"/>
      <c r="OZO1" s="434"/>
      <c r="OZP1" s="434"/>
      <c r="OZQ1" s="434"/>
      <c r="OZR1" s="434"/>
      <c r="OZS1" s="434"/>
      <c r="OZT1" s="434"/>
      <c r="OZU1" s="434"/>
      <c r="OZV1" s="434"/>
      <c r="OZW1" s="434"/>
      <c r="OZX1" s="434"/>
      <c r="OZY1" s="434"/>
      <c r="OZZ1" s="434"/>
      <c r="PAA1" s="434"/>
      <c r="PAB1" s="434"/>
      <c r="PAC1" s="434"/>
      <c r="PAD1" s="434"/>
      <c r="PAE1" s="434"/>
      <c r="PAF1" s="434"/>
      <c r="PAG1" s="434"/>
      <c r="PAH1" s="434"/>
      <c r="PAI1" s="434"/>
      <c r="PAJ1" s="434"/>
      <c r="PAK1" s="434"/>
      <c r="PAL1" s="434"/>
      <c r="PAM1" s="434"/>
      <c r="PAN1" s="434"/>
      <c r="PAO1" s="434"/>
      <c r="PAP1" s="434"/>
      <c r="PAQ1" s="434"/>
      <c r="PAR1" s="434"/>
      <c r="PAS1" s="434"/>
      <c r="PAT1" s="434"/>
      <c r="PAU1" s="434"/>
      <c r="PAV1" s="434"/>
      <c r="PAW1" s="434"/>
      <c r="PAX1" s="434"/>
      <c r="PAY1" s="434"/>
      <c r="PAZ1" s="434"/>
      <c r="PBA1" s="434"/>
      <c r="PBB1" s="434"/>
      <c r="PBC1" s="434"/>
      <c r="PBD1" s="434"/>
      <c r="PBE1" s="434"/>
      <c r="PBF1" s="434"/>
      <c r="PBG1" s="434"/>
      <c r="PBH1" s="434"/>
      <c r="PBI1" s="434"/>
      <c r="PBJ1" s="434"/>
      <c r="PBK1" s="434"/>
      <c r="PBL1" s="434"/>
      <c r="PBM1" s="434"/>
      <c r="PBN1" s="434"/>
      <c r="PBO1" s="434"/>
      <c r="PBP1" s="434"/>
      <c r="PBQ1" s="434"/>
      <c r="PBR1" s="434"/>
      <c r="PBS1" s="434"/>
      <c r="PBT1" s="434"/>
      <c r="PBU1" s="434"/>
      <c r="PBV1" s="434"/>
      <c r="PBW1" s="434"/>
      <c r="PBX1" s="434"/>
      <c r="PBY1" s="434"/>
      <c r="PBZ1" s="434"/>
      <c r="PCA1" s="434"/>
      <c r="PCB1" s="434"/>
      <c r="PCC1" s="434"/>
      <c r="PCD1" s="434"/>
      <c r="PCE1" s="434"/>
      <c r="PCF1" s="434"/>
      <c r="PCG1" s="434"/>
      <c r="PCH1" s="434"/>
      <c r="PCI1" s="434"/>
      <c r="PCJ1" s="434"/>
      <c r="PCK1" s="434"/>
      <c r="PCL1" s="434"/>
      <c r="PCM1" s="434"/>
      <c r="PCN1" s="434"/>
      <c r="PCO1" s="434"/>
      <c r="PCP1" s="434"/>
      <c r="PCQ1" s="434"/>
      <c r="PCR1" s="434"/>
      <c r="PCS1" s="434"/>
      <c r="PCT1" s="434"/>
      <c r="PCU1" s="434"/>
      <c r="PCV1" s="434"/>
      <c r="PCW1" s="434"/>
      <c r="PCX1" s="434"/>
      <c r="PCY1" s="434"/>
      <c r="PCZ1" s="434"/>
      <c r="PDA1" s="434"/>
      <c r="PDB1" s="434"/>
      <c r="PDC1" s="434"/>
      <c r="PDD1" s="434"/>
      <c r="PDE1" s="434"/>
      <c r="PDF1" s="434"/>
      <c r="PDG1" s="434"/>
      <c r="PDH1" s="434"/>
      <c r="PDI1" s="434"/>
      <c r="PDJ1" s="434"/>
      <c r="PDK1" s="434"/>
      <c r="PDL1" s="434"/>
      <c r="PDM1" s="434"/>
      <c r="PDN1" s="434"/>
      <c r="PDO1" s="434"/>
      <c r="PDP1" s="434"/>
      <c r="PDQ1" s="434"/>
      <c r="PDR1" s="434"/>
      <c r="PDS1" s="434"/>
      <c r="PDT1" s="434"/>
      <c r="PDU1" s="434"/>
      <c r="PDV1" s="434"/>
      <c r="PDW1" s="434"/>
      <c r="PDX1" s="434"/>
      <c r="PDY1" s="434"/>
      <c r="PDZ1" s="434"/>
      <c r="PEA1" s="434"/>
      <c r="PEB1" s="434"/>
      <c r="PEC1" s="434"/>
      <c r="PED1" s="434"/>
      <c r="PEE1" s="434"/>
      <c r="PEF1" s="434"/>
      <c r="PEG1" s="434"/>
      <c r="PEH1" s="434"/>
      <c r="PEI1" s="434"/>
      <c r="PEJ1" s="434"/>
      <c r="PEK1" s="434"/>
      <c r="PEL1" s="434"/>
      <c r="PEM1" s="434"/>
      <c r="PEN1" s="434"/>
      <c r="PEO1" s="434"/>
      <c r="PEP1" s="434"/>
      <c r="PEQ1" s="434"/>
      <c r="PER1" s="434"/>
      <c r="PES1" s="434"/>
      <c r="PET1" s="434"/>
      <c r="PEU1" s="434"/>
      <c r="PEV1" s="434"/>
      <c r="PEW1" s="434"/>
      <c r="PEX1" s="434"/>
      <c r="PEY1" s="434"/>
      <c r="PEZ1" s="434"/>
      <c r="PFA1" s="434"/>
      <c r="PFB1" s="434"/>
      <c r="PFC1" s="434"/>
      <c r="PFD1" s="434"/>
      <c r="PFE1" s="434"/>
      <c r="PFF1" s="434"/>
      <c r="PFG1" s="434"/>
      <c r="PFH1" s="434"/>
      <c r="PFI1" s="434"/>
      <c r="PFJ1" s="434"/>
      <c r="PFK1" s="434"/>
      <c r="PFL1" s="434"/>
      <c r="PFM1" s="434"/>
      <c r="PFN1" s="434"/>
      <c r="PFO1" s="434"/>
      <c r="PFP1" s="434"/>
      <c r="PFQ1" s="434"/>
      <c r="PFR1" s="434"/>
      <c r="PFS1" s="434"/>
      <c r="PFT1" s="434"/>
      <c r="PFU1" s="434"/>
      <c r="PFV1" s="434"/>
      <c r="PFW1" s="434"/>
      <c r="PFX1" s="434"/>
      <c r="PFY1" s="434"/>
      <c r="PFZ1" s="434"/>
      <c r="PGA1" s="434"/>
      <c r="PGB1" s="434"/>
      <c r="PGC1" s="434"/>
      <c r="PGD1" s="434"/>
      <c r="PGE1" s="434"/>
      <c r="PGF1" s="434"/>
      <c r="PGG1" s="434"/>
      <c r="PGH1" s="434"/>
      <c r="PGI1" s="434"/>
      <c r="PGJ1" s="434"/>
      <c r="PGK1" s="434"/>
      <c r="PGL1" s="434"/>
      <c r="PGM1" s="434"/>
      <c r="PGN1" s="434"/>
      <c r="PGO1" s="434"/>
      <c r="PGP1" s="434"/>
      <c r="PGQ1" s="434"/>
      <c r="PGR1" s="434"/>
      <c r="PGS1" s="434"/>
      <c r="PGT1" s="434"/>
      <c r="PGU1" s="434"/>
      <c r="PGV1" s="434"/>
      <c r="PGW1" s="434"/>
      <c r="PGX1" s="434"/>
      <c r="PGY1" s="434"/>
      <c r="PGZ1" s="434"/>
      <c r="PHA1" s="434"/>
      <c r="PHB1" s="434"/>
      <c r="PHC1" s="434"/>
      <c r="PHD1" s="434"/>
      <c r="PHE1" s="434"/>
      <c r="PHF1" s="434"/>
      <c r="PHG1" s="434"/>
      <c r="PHH1" s="434"/>
      <c r="PHI1" s="434"/>
      <c r="PHJ1" s="434"/>
      <c r="PHK1" s="434"/>
      <c r="PHL1" s="434"/>
      <c r="PHM1" s="434"/>
      <c r="PHN1" s="434"/>
      <c r="PHO1" s="434"/>
      <c r="PHP1" s="434"/>
      <c r="PHQ1" s="434"/>
      <c r="PHR1" s="434"/>
      <c r="PHS1" s="434"/>
      <c r="PHT1" s="434"/>
      <c r="PHU1" s="434"/>
      <c r="PHV1" s="434"/>
      <c r="PHW1" s="434"/>
      <c r="PHX1" s="434"/>
      <c r="PHY1" s="434"/>
      <c r="PHZ1" s="434"/>
      <c r="PIA1" s="434"/>
      <c r="PIB1" s="434"/>
      <c r="PIC1" s="434"/>
      <c r="PID1" s="434"/>
      <c r="PIE1" s="434"/>
      <c r="PIF1" s="434"/>
      <c r="PIG1" s="434"/>
      <c r="PIH1" s="434"/>
      <c r="PII1" s="434"/>
      <c r="PIJ1" s="434"/>
      <c r="PIK1" s="434"/>
      <c r="PIL1" s="434"/>
      <c r="PIM1" s="434"/>
      <c r="PIN1" s="434"/>
      <c r="PIO1" s="434"/>
      <c r="PIP1" s="434"/>
      <c r="PIQ1" s="434"/>
      <c r="PIR1" s="434"/>
      <c r="PIS1" s="434"/>
      <c r="PIT1" s="434"/>
      <c r="PIU1" s="434"/>
      <c r="PIV1" s="434"/>
      <c r="PIW1" s="434"/>
      <c r="PIX1" s="434"/>
      <c r="PIY1" s="434"/>
      <c r="PIZ1" s="434"/>
      <c r="PJA1" s="434"/>
      <c r="PJB1" s="434"/>
      <c r="PJC1" s="434"/>
      <c r="PJD1" s="434"/>
      <c r="PJE1" s="434"/>
      <c r="PJF1" s="434"/>
      <c r="PJG1" s="434"/>
      <c r="PJH1" s="434"/>
      <c r="PJI1" s="434"/>
      <c r="PJJ1" s="434"/>
      <c r="PJK1" s="434"/>
      <c r="PJL1" s="434"/>
      <c r="PJM1" s="434"/>
      <c r="PJN1" s="434"/>
      <c r="PJO1" s="434"/>
      <c r="PJP1" s="434"/>
      <c r="PJQ1" s="434"/>
      <c r="PJR1" s="434"/>
      <c r="PJS1" s="434"/>
      <c r="PJT1" s="434"/>
      <c r="PJU1" s="434"/>
      <c r="PJV1" s="434"/>
      <c r="PJW1" s="434"/>
      <c r="PJX1" s="434"/>
      <c r="PJY1" s="434"/>
      <c r="PJZ1" s="434"/>
      <c r="PKA1" s="434"/>
      <c r="PKB1" s="434"/>
      <c r="PKC1" s="434"/>
      <c r="PKD1" s="434"/>
      <c r="PKE1" s="434"/>
      <c r="PKF1" s="434"/>
      <c r="PKG1" s="434"/>
      <c r="PKH1" s="434"/>
      <c r="PKI1" s="434"/>
      <c r="PKJ1" s="434"/>
      <c r="PKK1" s="434"/>
      <c r="PKL1" s="434"/>
      <c r="PKM1" s="434"/>
      <c r="PKN1" s="434"/>
      <c r="PKO1" s="434"/>
      <c r="PKP1" s="434"/>
      <c r="PKQ1" s="434"/>
      <c r="PKR1" s="434"/>
      <c r="PKS1" s="434"/>
      <c r="PKT1" s="434"/>
      <c r="PKU1" s="434"/>
      <c r="PKV1" s="434"/>
      <c r="PKW1" s="434"/>
      <c r="PKX1" s="434"/>
      <c r="PKY1" s="434"/>
      <c r="PKZ1" s="434"/>
      <c r="PLA1" s="434"/>
      <c r="PLB1" s="434"/>
      <c r="PLC1" s="434"/>
      <c r="PLD1" s="434"/>
      <c r="PLE1" s="434"/>
      <c r="PLF1" s="434"/>
      <c r="PLG1" s="434"/>
      <c r="PLH1" s="434"/>
      <c r="PLI1" s="434"/>
      <c r="PLJ1" s="434"/>
      <c r="PLK1" s="434"/>
      <c r="PLL1" s="434"/>
      <c r="PLM1" s="434"/>
      <c r="PLN1" s="434"/>
      <c r="PLO1" s="434"/>
      <c r="PLP1" s="434"/>
      <c r="PLQ1" s="434"/>
      <c r="PLR1" s="434"/>
      <c r="PLS1" s="434"/>
      <c r="PLT1" s="434"/>
      <c r="PLU1" s="434"/>
      <c r="PLV1" s="434"/>
      <c r="PLW1" s="434"/>
      <c r="PLX1" s="434"/>
      <c r="PLY1" s="434"/>
      <c r="PLZ1" s="434"/>
      <c r="PMA1" s="434"/>
      <c r="PMB1" s="434"/>
      <c r="PMC1" s="434"/>
      <c r="PMD1" s="434"/>
      <c r="PME1" s="434"/>
      <c r="PMF1" s="434"/>
      <c r="PMG1" s="434"/>
      <c r="PMH1" s="434"/>
      <c r="PMI1" s="434"/>
      <c r="PMJ1" s="434"/>
      <c r="PMK1" s="434"/>
      <c r="PML1" s="434"/>
      <c r="PMM1" s="434"/>
      <c r="PMN1" s="434"/>
      <c r="PMO1" s="434"/>
      <c r="PMP1" s="434"/>
      <c r="PMQ1" s="434"/>
      <c r="PMR1" s="434"/>
      <c r="PMS1" s="434"/>
      <c r="PMT1" s="434"/>
      <c r="PMU1" s="434"/>
      <c r="PMV1" s="434"/>
      <c r="PMW1" s="434"/>
      <c r="PMX1" s="434"/>
      <c r="PMY1" s="434"/>
      <c r="PMZ1" s="434"/>
      <c r="PNA1" s="434"/>
      <c r="PNB1" s="434"/>
      <c r="PNC1" s="434"/>
      <c r="PND1" s="434"/>
      <c r="PNE1" s="434"/>
      <c r="PNF1" s="434"/>
      <c r="PNG1" s="434"/>
      <c r="PNH1" s="434"/>
      <c r="PNI1" s="434"/>
      <c r="PNJ1" s="434"/>
      <c r="PNK1" s="434"/>
      <c r="PNL1" s="434"/>
      <c r="PNM1" s="434"/>
      <c r="PNN1" s="434"/>
      <c r="PNO1" s="434"/>
      <c r="PNP1" s="434"/>
      <c r="PNQ1" s="434"/>
      <c r="PNR1" s="434"/>
      <c r="PNS1" s="434"/>
      <c r="PNT1" s="434"/>
      <c r="PNU1" s="434"/>
      <c r="PNV1" s="434"/>
      <c r="PNW1" s="434"/>
      <c r="PNX1" s="434"/>
      <c r="PNY1" s="434"/>
      <c r="PNZ1" s="434"/>
      <c r="POA1" s="434"/>
      <c r="POB1" s="434"/>
      <c r="POC1" s="434"/>
      <c r="POD1" s="434"/>
      <c r="POE1" s="434"/>
      <c r="POF1" s="434"/>
      <c r="POG1" s="434"/>
      <c r="POH1" s="434"/>
      <c r="POI1" s="434"/>
      <c r="POJ1" s="434"/>
      <c r="POK1" s="434"/>
      <c r="POL1" s="434"/>
      <c r="POM1" s="434"/>
      <c r="PON1" s="434"/>
      <c r="POO1" s="434"/>
      <c r="POP1" s="434"/>
      <c r="POQ1" s="434"/>
      <c r="POR1" s="434"/>
      <c r="POS1" s="434"/>
      <c r="POT1" s="434"/>
      <c r="POU1" s="434"/>
      <c r="POV1" s="434"/>
      <c r="POW1" s="434"/>
      <c r="POX1" s="434"/>
      <c r="POY1" s="434"/>
      <c r="POZ1" s="434"/>
      <c r="PPA1" s="434"/>
      <c r="PPB1" s="434"/>
      <c r="PPC1" s="434"/>
      <c r="PPD1" s="434"/>
      <c r="PPE1" s="434"/>
      <c r="PPF1" s="434"/>
      <c r="PPG1" s="434"/>
      <c r="PPH1" s="434"/>
      <c r="PPI1" s="434"/>
      <c r="PPJ1" s="434"/>
      <c r="PPK1" s="434"/>
      <c r="PPL1" s="434"/>
      <c r="PPM1" s="434"/>
      <c r="PPN1" s="434"/>
      <c r="PPO1" s="434"/>
      <c r="PPP1" s="434"/>
      <c r="PPQ1" s="434"/>
      <c r="PPR1" s="434"/>
      <c r="PPS1" s="434"/>
      <c r="PPT1" s="434"/>
      <c r="PPU1" s="434"/>
      <c r="PPV1" s="434"/>
      <c r="PPW1" s="434"/>
      <c r="PPX1" s="434"/>
      <c r="PPY1" s="434"/>
      <c r="PPZ1" s="434"/>
      <c r="PQA1" s="434"/>
      <c r="PQB1" s="434"/>
      <c r="PQC1" s="434"/>
      <c r="PQD1" s="434"/>
      <c r="PQE1" s="434"/>
      <c r="PQF1" s="434"/>
      <c r="PQG1" s="434"/>
      <c r="PQH1" s="434"/>
      <c r="PQI1" s="434"/>
      <c r="PQJ1" s="434"/>
      <c r="PQK1" s="434"/>
      <c r="PQL1" s="434"/>
      <c r="PQM1" s="434"/>
      <c r="PQN1" s="434"/>
      <c r="PQO1" s="434"/>
      <c r="PQP1" s="434"/>
      <c r="PQQ1" s="434"/>
      <c r="PQR1" s="434"/>
      <c r="PQS1" s="434"/>
      <c r="PQT1" s="434"/>
      <c r="PQU1" s="434"/>
      <c r="PQV1" s="434"/>
      <c r="PQW1" s="434"/>
      <c r="PQX1" s="434"/>
      <c r="PQY1" s="434"/>
      <c r="PQZ1" s="434"/>
      <c r="PRA1" s="434"/>
      <c r="PRB1" s="434"/>
      <c r="PRC1" s="434"/>
      <c r="PRD1" s="434"/>
      <c r="PRE1" s="434"/>
      <c r="PRF1" s="434"/>
      <c r="PRG1" s="434"/>
      <c r="PRH1" s="434"/>
      <c r="PRI1" s="434"/>
      <c r="PRJ1" s="434"/>
      <c r="PRK1" s="434"/>
      <c r="PRL1" s="434"/>
      <c r="PRM1" s="434"/>
      <c r="PRN1" s="434"/>
      <c r="PRO1" s="434"/>
      <c r="PRP1" s="434"/>
      <c r="PRQ1" s="434"/>
      <c r="PRR1" s="434"/>
      <c r="PRS1" s="434"/>
      <c r="PRT1" s="434"/>
      <c r="PRU1" s="434"/>
      <c r="PRV1" s="434"/>
      <c r="PRW1" s="434"/>
      <c r="PRX1" s="434"/>
      <c r="PRY1" s="434"/>
      <c r="PRZ1" s="434"/>
      <c r="PSA1" s="434"/>
      <c r="PSB1" s="434"/>
      <c r="PSC1" s="434"/>
      <c r="PSD1" s="434"/>
      <c r="PSE1" s="434"/>
      <c r="PSF1" s="434"/>
      <c r="PSG1" s="434"/>
      <c r="PSH1" s="434"/>
      <c r="PSI1" s="434"/>
      <c r="PSJ1" s="434"/>
      <c r="PSK1" s="434"/>
      <c r="PSL1" s="434"/>
      <c r="PSM1" s="434"/>
      <c r="PSN1" s="434"/>
      <c r="PSO1" s="434"/>
      <c r="PSP1" s="434"/>
      <c r="PSQ1" s="434"/>
      <c r="PSR1" s="434"/>
      <c r="PSS1" s="434"/>
      <c r="PST1" s="434"/>
      <c r="PSU1" s="434"/>
      <c r="PSV1" s="434"/>
      <c r="PSW1" s="434"/>
      <c r="PSX1" s="434"/>
      <c r="PSY1" s="434"/>
      <c r="PSZ1" s="434"/>
      <c r="PTA1" s="434"/>
      <c r="PTB1" s="434"/>
      <c r="PTC1" s="434"/>
      <c r="PTD1" s="434"/>
      <c r="PTE1" s="434"/>
      <c r="PTF1" s="434"/>
      <c r="PTG1" s="434"/>
      <c r="PTH1" s="434"/>
      <c r="PTI1" s="434"/>
      <c r="PTJ1" s="434"/>
      <c r="PTK1" s="434"/>
      <c r="PTL1" s="434"/>
      <c r="PTM1" s="434"/>
      <c r="PTN1" s="434"/>
      <c r="PTO1" s="434"/>
      <c r="PTP1" s="434"/>
      <c r="PTQ1" s="434"/>
      <c r="PTR1" s="434"/>
      <c r="PTS1" s="434"/>
      <c r="PTT1" s="434"/>
      <c r="PTU1" s="434"/>
      <c r="PTV1" s="434"/>
      <c r="PTW1" s="434"/>
      <c r="PTX1" s="434"/>
      <c r="PTY1" s="434"/>
      <c r="PTZ1" s="434"/>
      <c r="PUA1" s="434"/>
      <c r="PUB1" s="434"/>
      <c r="PUC1" s="434"/>
      <c r="PUD1" s="434"/>
      <c r="PUE1" s="434"/>
      <c r="PUF1" s="434"/>
      <c r="PUG1" s="434"/>
      <c r="PUH1" s="434"/>
      <c r="PUI1" s="434"/>
      <c r="PUJ1" s="434"/>
      <c r="PUK1" s="434"/>
      <c r="PUL1" s="434"/>
      <c r="PUM1" s="434"/>
      <c r="PUN1" s="434"/>
      <c r="PUO1" s="434"/>
      <c r="PUP1" s="434"/>
      <c r="PUQ1" s="434"/>
      <c r="PUR1" s="434"/>
      <c r="PUS1" s="434"/>
      <c r="PUT1" s="434"/>
      <c r="PUU1" s="434"/>
      <c r="PUV1" s="434"/>
      <c r="PUW1" s="434"/>
      <c r="PUX1" s="434"/>
      <c r="PUY1" s="434"/>
      <c r="PUZ1" s="434"/>
      <c r="PVA1" s="434"/>
      <c r="PVB1" s="434"/>
      <c r="PVC1" s="434"/>
      <c r="PVD1" s="434"/>
      <c r="PVE1" s="434"/>
      <c r="PVF1" s="434"/>
      <c r="PVG1" s="434"/>
      <c r="PVH1" s="434"/>
      <c r="PVI1" s="434"/>
      <c r="PVJ1" s="434"/>
      <c r="PVK1" s="434"/>
      <c r="PVL1" s="434"/>
      <c r="PVM1" s="434"/>
      <c r="PVN1" s="434"/>
      <c r="PVO1" s="434"/>
      <c r="PVP1" s="434"/>
      <c r="PVQ1" s="434"/>
      <c r="PVR1" s="434"/>
      <c r="PVS1" s="434"/>
      <c r="PVT1" s="434"/>
      <c r="PVU1" s="434"/>
      <c r="PVV1" s="434"/>
      <c r="PVW1" s="434"/>
      <c r="PVX1" s="434"/>
      <c r="PVY1" s="434"/>
      <c r="PVZ1" s="434"/>
      <c r="PWA1" s="434"/>
      <c r="PWB1" s="434"/>
      <c r="PWC1" s="434"/>
      <c r="PWD1" s="434"/>
      <c r="PWE1" s="434"/>
      <c r="PWF1" s="434"/>
      <c r="PWG1" s="434"/>
      <c r="PWH1" s="434"/>
      <c r="PWI1" s="434"/>
      <c r="PWJ1" s="434"/>
      <c r="PWK1" s="434"/>
      <c r="PWL1" s="434"/>
      <c r="PWM1" s="434"/>
      <c r="PWN1" s="434"/>
      <c r="PWO1" s="434"/>
      <c r="PWP1" s="434"/>
      <c r="PWQ1" s="434"/>
      <c r="PWR1" s="434"/>
      <c r="PWS1" s="434"/>
      <c r="PWT1" s="434"/>
      <c r="PWU1" s="434"/>
      <c r="PWV1" s="434"/>
      <c r="PWW1" s="434"/>
      <c r="PWX1" s="434"/>
      <c r="PWY1" s="434"/>
      <c r="PWZ1" s="434"/>
      <c r="PXA1" s="434"/>
      <c r="PXB1" s="434"/>
      <c r="PXC1" s="434"/>
      <c r="PXD1" s="434"/>
      <c r="PXE1" s="434"/>
      <c r="PXF1" s="434"/>
      <c r="PXG1" s="434"/>
      <c r="PXH1" s="434"/>
      <c r="PXI1" s="434"/>
      <c r="PXJ1" s="434"/>
      <c r="PXK1" s="434"/>
      <c r="PXL1" s="434"/>
      <c r="PXM1" s="434"/>
      <c r="PXN1" s="434"/>
      <c r="PXO1" s="434"/>
      <c r="PXP1" s="434"/>
      <c r="PXQ1" s="434"/>
      <c r="PXR1" s="434"/>
      <c r="PXS1" s="434"/>
      <c r="PXT1" s="434"/>
      <c r="PXU1" s="434"/>
      <c r="PXV1" s="434"/>
      <c r="PXW1" s="434"/>
      <c r="PXX1" s="434"/>
      <c r="PXY1" s="434"/>
      <c r="PXZ1" s="434"/>
      <c r="PYA1" s="434"/>
      <c r="PYB1" s="434"/>
      <c r="PYC1" s="434"/>
      <c r="PYD1" s="434"/>
      <c r="PYE1" s="434"/>
      <c r="PYF1" s="434"/>
      <c r="PYG1" s="434"/>
      <c r="PYH1" s="434"/>
      <c r="PYI1" s="434"/>
      <c r="PYJ1" s="434"/>
      <c r="PYK1" s="434"/>
      <c r="PYL1" s="434"/>
      <c r="PYM1" s="434"/>
      <c r="PYN1" s="434"/>
      <c r="PYO1" s="434"/>
      <c r="PYP1" s="434"/>
      <c r="PYQ1" s="434"/>
      <c r="PYR1" s="434"/>
      <c r="PYS1" s="434"/>
      <c r="PYT1" s="434"/>
      <c r="PYU1" s="434"/>
      <c r="PYV1" s="434"/>
      <c r="PYW1" s="434"/>
      <c r="PYX1" s="434"/>
      <c r="PYY1" s="434"/>
      <c r="PYZ1" s="434"/>
      <c r="PZA1" s="434"/>
      <c r="PZB1" s="434"/>
      <c r="PZC1" s="434"/>
      <c r="PZD1" s="434"/>
      <c r="PZE1" s="434"/>
      <c r="PZF1" s="434"/>
      <c r="PZG1" s="434"/>
      <c r="PZH1" s="434"/>
      <c r="PZI1" s="434"/>
      <c r="PZJ1" s="434"/>
      <c r="PZK1" s="434"/>
      <c r="PZL1" s="434"/>
      <c r="PZM1" s="434"/>
      <c r="PZN1" s="434"/>
      <c r="PZO1" s="434"/>
      <c r="PZP1" s="434"/>
      <c r="PZQ1" s="434"/>
      <c r="PZR1" s="434"/>
      <c r="PZS1" s="434"/>
      <c r="PZT1" s="434"/>
      <c r="PZU1" s="434"/>
      <c r="PZV1" s="434"/>
      <c r="PZW1" s="434"/>
      <c r="PZX1" s="434"/>
      <c r="PZY1" s="434"/>
      <c r="PZZ1" s="434"/>
      <c r="QAA1" s="434"/>
      <c r="QAB1" s="434"/>
      <c r="QAC1" s="434"/>
      <c r="QAD1" s="434"/>
      <c r="QAE1" s="434"/>
      <c r="QAF1" s="434"/>
      <c r="QAG1" s="434"/>
      <c r="QAH1" s="434"/>
      <c r="QAI1" s="434"/>
      <c r="QAJ1" s="434"/>
      <c r="QAK1" s="434"/>
      <c r="QAL1" s="434"/>
      <c r="QAM1" s="434"/>
      <c r="QAN1" s="434"/>
      <c r="QAO1" s="434"/>
      <c r="QAP1" s="434"/>
      <c r="QAQ1" s="434"/>
      <c r="QAR1" s="434"/>
      <c r="QAS1" s="434"/>
      <c r="QAT1" s="434"/>
      <c r="QAU1" s="434"/>
      <c r="QAV1" s="434"/>
      <c r="QAW1" s="434"/>
      <c r="QAX1" s="434"/>
      <c r="QAY1" s="434"/>
      <c r="QAZ1" s="434"/>
      <c r="QBA1" s="434"/>
      <c r="QBB1" s="434"/>
      <c r="QBC1" s="434"/>
      <c r="QBD1" s="434"/>
      <c r="QBE1" s="434"/>
      <c r="QBF1" s="434"/>
      <c r="QBG1" s="434"/>
      <c r="QBH1" s="434"/>
      <c r="QBI1" s="434"/>
      <c r="QBJ1" s="434"/>
      <c r="QBK1" s="434"/>
      <c r="QBL1" s="434"/>
      <c r="QBM1" s="434"/>
      <c r="QBN1" s="434"/>
      <c r="QBO1" s="434"/>
      <c r="QBP1" s="434"/>
      <c r="QBQ1" s="434"/>
      <c r="QBR1" s="434"/>
      <c r="QBS1" s="434"/>
      <c r="QBT1" s="434"/>
      <c r="QBU1" s="434"/>
      <c r="QBV1" s="434"/>
      <c r="QBW1" s="434"/>
      <c r="QBX1" s="434"/>
      <c r="QBY1" s="434"/>
      <c r="QBZ1" s="434"/>
      <c r="QCA1" s="434"/>
      <c r="QCB1" s="434"/>
      <c r="QCC1" s="434"/>
      <c r="QCD1" s="434"/>
      <c r="QCE1" s="434"/>
      <c r="QCF1" s="434"/>
      <c r="QCG1" s="434"/>
      <c r="QCH1" s="434"/>
      <c r="QCI1" s="434"/>
      <c r="QCJ1" s="434"/>
      <c r="QCK1" s="434"/>
      <c r="QCL1" s="434"/>
      <c r="QCM1" s="434"/>
      <c r="QCN1" s="434"/>
      <c r="QCO1" s="434"/>
      <c r="QCP1" s="434"/>
      <c r="QCQ1" s="434"/>
      <c r="QCR1" s="434"/>
      <c r="QCS1" s="434"/>
      <c r="QCT1" s="434"/>
      <c r="QCU1" s="434"/>
      <c r="QCV1" s="434"/>
      <c r="QCW1" s="434"/>
      <c r="QCX1" s="434"/>
      <c r="QCY1" s="434"/>
      <c r="QCZ1" s="434"/>
      <c r="QDA1" s="434"/>
      <c r="QDB1" s="434"/>
      <c r="QDC1" s="434"/>
      <c r="QDD1" s="434"/>
      <c r="QDE1" s="434"/>
      <c r="QDF1" s="434"/>
      <c r="QDG1" s="434"/>
      <c r="QDH1" s="434"/>
      <c r="QDI1" s="434"/>
      <c r="QDJ1" s="434"/>
      <c r="QDK1" s="434"/>
      <c r="QDL1" s="434"/>
      <c r="QDM1" s="434"/>
      <c r="QDN1" s="434"/>
      <c r="QDO1" s="434"/>
      <c r="QDP1" s="434"/>
      <c r="QDQ1" s="434"/>
      <c r="QDR1" s="434"/>
      <c r="QDS1" s="434"/>
      <c r="QDT1" s="434"/>
      <c r="QDU1" s="434"/>
      <c r="QDV1" s="434"/>
      <c r="QDW1" s="434"/>
      <c r="QDX1" s="434"/>
      <c r="QDY1" s="434"/>
      <c r="QDZ1" s="434"/>
      <c r="QEA1" s="434"/>
      <c r="QEB1" s="434"/>
      <c r="QEC1" s="434"/>
      <c r="QED1" s="434"/>
      <c r="QEE1" s="434"/>
      <c r="QEF1" s="434"/>
      <c r="QEG1" s="434"/>
      <c r="QEH1" s="434"/>
      <c r="QEI1" s="434"/>
      <c r="QEJ1" s="434"/>
      <c r="QEK1" s="434"/>
      <c r="QEL1" s="434"/>
      <c r="QEM1" s="434"/>
      <c r="QEN1" s="434"/>
      <c r="QEO1" s="434"/>
      <c r="QEP1" s="434"/>
      <c r="QEQ1" s="434"/>
      <c r="QER1" s="434"/>
      <c r="QES1" s="434"/>
      <c r="QET1" s="434"/>
      <c r="QEU1" s="434"/>
      <c r="QEV1" s="434"/>
      <c r="QEW1" s="434"/>
      <c r="QEX1" s="434"/>
      <c r="QEY1" s="434"/>
      <c r="QEZ1" s="434"/>
      <c r="QFA1" s="434"/>
      <c r="QFB1" s="434"/>
      <c r="QFC1" s="434"/>
      <c r="QFD1" s="434"/>
      <c r="QFE1" s="434"/>
      <c r="QFF1" s="434"/>
      <c r="QFG1" s="434"/>
      <c r="QFH1" s="434"/>
      <c r="QFI1" s="434"/>
      <c r="QFJ1" s="434"/>
      <c r="QFK1" s="434"/>
      <c r="QFL1" s="434"/>
      <c r="QFM1" s="434"/>
      <c r="QFN1" s="434"/>
      <c r="QFO1" s="434"/>
      <c r="QFP1" s="434"/>
      <c r="QFQ1" s="434"/>
      <c r="QFR1" s="434"/>
      <c r="QFS1" s="434"/>
      <c r="QFT1" s="434"/>
      <c r="QFU1" s="434"/>
      <c r="QFV1" s="434"/>
      <c r="QFW1" s="434"/>
      <c r="QFX1" s="434"/>
      <c r="QFY1" s="434"/>
      <c r="QFZ1" s="434"/>
      <c r="QGA1" s="434"/>
      <c r="QGB1" s="434"/>
      <c r="QGC1" s="434"/>
      <c r="QGD1" s="434"/>
      <c r="QGE1" s="434"/>
      <c r="QGF1" s="434"/>
      <c r="QGG1" s="434"/>
      <c r="QGH1" s="434"/>
      <c r="QGI1" s="434"/>
      <c r="QGJ1" s="434"/>
      <c r="QGK1" s="434"/>
      <c r="QGL1" s="434"/>
      <c r="QGM1" s="434"/>
      <c r="QGN1" s="434"/>
      <c r="QGO1" s="434"/>
      <c r="QGP1" s="434"/>
      <c r="QGQ1" s="434"/>
      <c r="QGR1" s="434"/>
      <c r="QGS1" s="434"/>
      <c r="QGT1" s="434"/>
      <c r="QGU1" s="434"/>
      <c r="QGV1" s="434"/>
      <c r="QGW1" s="434"/>
      <c r="QGX1" s="434"/>
      <c r="QGY1" s="434"/>
      <c r="QGZ1" s="434"/>
      <c r="QHA1" s="434"/>
      <c r="QHB1" s="434"/>
      <c r="QHC1" s="434"/>
      <c r="QHD1" s="434"/>
      <c r="QHE1" s="434"/>
      <c r="QHF1" s="434"/>
      <c r="QHG1" s="434"/>
      <c r="QHH1" s="434"/>
      <c r="QHI1" s="434"/>
      <c r="QHJ1" s="434"/>
      <c r="QHK1" s="434"/>
      <c r="QHL1" s="434"/>
      <c r="QHM1" s="434"/>
      <c r="QHN1" s="434"/>
      <c r="QHO1" s="434"/>
      <c r="QHP1" s="434"/>
      <c r="QHQ1" s="434"/>
      <c r="QHR1" s="434"/>
      <c r="QHS1" s="434"/>
      <c r="QHT1" s="434"/>
      <c r="QHU1" s="434"/>
      <c r="QHV1" s="434"/>
      <c r="QHW1" s="434"/>
      <c r="QHX1" s="434"/>
      <c r="QHY1" s="434"/>
      <c r="QHZ1" s="434"/>
      <c r="QIA1" s="434"/>
      <c r="QIB1" s="434"/>
      <c r="QIC1" s="434"/>
      <c r="QID1" s="434"/>
      <c r="QIE1" s="434"/>
      <c r="QIF1" s="434"/>
      <c r="QIG1" s="434"/>
      <c r="QIH1" s="434"/>
      <c r="QII1" s="434"/>
      <c r="QIJ1" s="434"/>
      <c r="QIK1" s="434"/>
      <c r="QIL1" s="434"/>
      <c r="QIM1" s="434"/>
      <c r="QIN1" s="434"/>
      <c r="QIO1" s="434"/>
      <c r="QIP1" s="434"/>
      <c r="QIQ1" s="434"/>
      <c r="QIR1" s="434"/>
      <c r="QIS1" s="434"/>
      <c r="QIT1" s="434"/>
      <c r="QIU1" s="434"/>
      <c r="QIV1" s="434"/>
      <c r="QIW1" s="434"/>
      <c r="QIX1" s="434"/>
      <c r="QIY1" s="434"/>
      <c r="QIZ1" s="434"/>
      <c r="QJA1" s="434"/>
      <c r="QJB1" s="434"/>
      <c r="QJC1" s="434"/>
      <c r="QJD1" s="434"/>
      <c r="QJE1" s="434"/>
      <c r="QJF1" s="434"/>
      <c r="QJG1" s="434"/>
      <c r="QJH1" s="434"/>
      <c r="QJI1" s="434"/>
      <c r="QJJ1" s="434"/>
      <c r="QJK1" s="434"/>
      <c r="QJL1" s="434"/>
      <c r="QJM1" s="434"/>
      <c r="QJN1" s="434"/>
      <c r="QJO1" s="434"/>
      <c r="QJP1" s="434"/>
      <c r="QJQ1" s="434"/>
      <c r="QJR1" s="434"/>
      <c r="QJS1" s="434"/>
      <c r="QJT1" s="434"/>
      <c r="QJU1" s="434"/>
      <c r="QJV1" s="434"/>
      <c r="QJW1" s="434"/>
      <c r="QJX1" s="434"/>
      <c r="QJY1" s="434"/>
      <c r="QJZ1" s="434"/>
      <c r="QKA1" s="434"/>
      <c r="QKB1" s="434"/>
      <c r="QKC1" s="434"/>
      <c r="QKD1" s="434"/>
      <c r="QKE1" s="434"/>
      <c r="QKF1" s="434"/>
      <c r="QKG1" s="434"/>
      <c r="QKH1" s="434"/>
      <c r="QKI1" s="434"/>
      <c r="QKJ1" s="434"/>
      <c r="QKK1" s="434"/>
      <c r="QKL1" s="434"/>
      <c r="QKM1" s="434"/>
      <c r="QKN1" s="434"/>
      <c r="QKO1" s="434"/>
      <c r="QKP1" s="434"/>
      <c r="QKQ1" s="434"/>
      <c r="QKR1" s="434"/>
      <c r="QKS1" s="434"/>
      <c r="QKT1" s="434"/>
      <c r="QKU1" s="434"/>
      <c r="QKV1" s="434"/>
      <c r="QKW1" s="434"/>
      <c r="QKX1" s="434"/>
      <c r="QKY1" s="434"/>
      <c r="QKZ1" s="434"/>
      <c r="QLA1" s="434"/>
      <c r="QLB1" s="434"/>
      <c r="QLC1" s="434"/>
      <c r="QLD1" s="434"/>
      <c r="QLE1" s="434"/>
      <c r="QLF1" s="434"/>
      <c r="QLG1" s="434"/>
      <c r="QLH1" s="434"/>
      <c r="QLI1" s="434"/>
      <c r="QLJ1" s="434"/>
      <c r="QLK1" s="434"/>
      <c r="QLL1" s="434"/>
      <c r="QLM1" s="434"/>
      <c r="QLN1" s="434"/>
      <c r="QLO1" s="434"/>
      <c r="QLP1" s="434"/>
      <c r="QLQ1" s="434"/>
      <c r="QLR1" s="434"/>
      <c r="QLS1" s="434"/>
      <c r="QLT1" s="434"/>
      <c r="QLU1" s="434"/>
      <c r="QLV1" s="434"/>
      <c r="QLW1" s="434"/>
      <c r="QLX1" s="434"/>
      <c r="QLY1" s="434"/>
      <c r="QLZ1" s="434"/>
      <c r="QMA1" s="434"/>
      <c r="QMB1" s="434"/>
      <c r="QMC1" s="434"/>
      <c r="QMD1" s="434"/>
      <c r="QME1" s="434"/>
      <c r="QMF1" s="434"/>
      <c r="QMG1" s="434"/>
      <c r="QMH1" s="434"/>
      <c r="QMI1" s="434"/>
      <c r="QMJ1" s="434"/>
      <c r="QMK1" s="434"/>
      <c r="QML1" s="434"/>
      <c r="QMM1" s="434"/>
      <c r="QMN1" s="434"/>
      <c r="QMO1" s="434"/>
      <c r="QMP1" s="434"/>
      <c r="QMQ1" s="434"/>
      <c r="QMR1" s="434"/>
      <c r="QMS1" s="434"/>
      <c r="QMT1" s="434"/>
      <c r="QMU1" s="434"/>
      <c r="QMV1" s="434"/>
      <c r="QMW1" s="434"/>
      <c r="QMX1" s="434"/>
      <c r="QMY1" s="434"/>
      <c r="QMZ1" s="434"/>
      <c r="QNA1" s="434"/>
      <c r="QNB1" s="434"/>
      <c r="QNC1" s="434"/>
      <c r="QND1" s="434"/>
      <c r="QNE1" s="434"/>
      <c r="QNF1" s="434"/>
      <c r="QNG1" s="434"/>
      <c r="QNH1" s="434"/>
      <c r="QNI1" s="434"/>
      <c r="QNJ1" s="434"/>
      <c r="QNK1" s="434"/>
      <c r="QNL1" s="434"/>
      <c r="QNM1" s="434"/>
      <c r="QNN1" s="434"/>
      <c r="QNO1" s="434"/>
      <c r="QNP1" s="434"/>
      <c r="QNQ1" s="434"/>
      <c r="QNR1" s="434"/>
      <c r="QNS1" s="434"/>
      <c r="QNT1" s="434"/>
      <c r="QNU1" s="434"/>
      <c r="QNV1" s="434"/>
      <c r="QNW1" s="434"/>
      <c r="QNX1" s="434"/>
      <c r="QNY1" s="434"/>
      <c r="QNZ1" s="434"/>
      <c r="QOA1" s="434"/>
      <c r="QOB1" s="434"/>
      <c r="QOC1" s="434"/>
      <c r="QOD1" s="434"/>
      <c r="QOE1" s="434"/>
      <c r="QOF1" s="434"/>
      <c r="QOG1" s="434"/>
      <c r="QOH1" s="434"/>
      <c r="QOI1" s="434"/>
      <c r="QOJ1" s="434"/>
      <c r="QOK1" s="434"/>
      <c r="QOL1" s="434"/>
      <c r="QOM1" s="434"/>
      <c r="QON1" s="434"/>
      <c r="QOO1" s="434"/>
      <c r="QOP1" s="434"/>
      <c r="QOQ1" s="434"/>
      <c r="QOR1" s="434"/>
      <c r="QOS1" s="434"/>
      <c r="QOT1" s="434"/>
      <c r="QOU1" s="434"/>
      <c r="QOV1" s="434"/>
      <c r="QOW1" s="434"/>
      <c r="QOX1" s="434"/>
      <c r="QOY1" s="434"/>
      <c r="QOZ1" s="434"/>
      <c r="QPA1" s="434"/>
      <c r="QPB1" s="434"/>
      <c r="QPC1" s="434"/>
      <c r="QPD1" s="434"/>
      <c r="QPE1" s="434"/>
      <c r="QPF1" s="434"/>
      <c r="QPG1" s="434"/>
      <c r="QPH1" s="434"/>
      <c r="QPI1" s="434"/>
      <c r="QPJ1" s="434"/>
      <c r="QPK1" s="434"/>
      <c r="QPL1" s="434"/>
      <c r="QPM1" s="434"/>
      <c r="QPN1" s="434"/>
      <c r="QPO1" s="434"/>
      <c r="QPP1" s="434"/>
      <c r="QPQ1" s="434"/>
      <c r="QPR1" s="434"/>
      <c r="QPS1" s="434"/>
      <c r="QPT1" s="434"/>
      <c r="QPU1" s="434"/>
      <c r="QPV1" s="434"/>
      <c r="QPW1" s="434"/>
      <c r="QPX1" s="434"/>
      <c r="QPY1" s="434"/>
      <c r="QPZ1" s="434"/>
      <c r="QQA1" s="434"/>
      <c r="QQB1" s="434"/>
      <c r="QQC1" s="434"/>
      <c r="QQD1" s="434"/>
      <c r="QQE1" s="434"/>
      <c r="QQF1" s="434"/>
      <c r="QQG1" s="434"/>
      <c r="QQH1" s="434"/>
      <c r="QQI1" s="434"/>
      <c r="QQJ1" s="434"/>
      <c r="QQK1" s="434"/>
      <c r="QQL1" s="434"/>
      <c r="QQM1" s="434"/>
      <c r="QQN1" s="434"/>
      <c r="QQO1" s="434"/>
      <c r="QQP1" s="434"/>
      <c r="QQQ1" s="434"/>
      <c r="QQR1" s="434"/>
      <c r="QQS1" s="434"/>
      <c r="QQT1" s="434"/>
      <c r="QQU1" s="434"/>
      <c r="QQV1" s="434"/>
      <c r="QQW1" s="434"/>
      <c r="QQX1" s="434"/>
      <c r="QQY1" s="434"/>
      <c r="QQZ1" s="434"/>
      <c r="QRA1" s="434"/>
      <c r="QRB1" s="434"/>
      <c r="QRC1" s="434"/>
      <c r="QRD1" s="434"/>
      <c r="QRE1" s="434"/>
      <c r="QRF1" s="434"/>
      <c r="QRG1" s="434"/>
      <c r="QRH1" s="434"/>
      <c r="QRI1" s="434"/>
      <c r="QRJ1" s="434"/>
      <c r="QRK1" s="434"/>
      <c r="QRL1" s="434"/>
      <c r="QRM1" s="434"/>
      <c r="QRN1" s="434"/>
      <c r="QRO1" s="434"/>
      <c r="QRP1" s="434"/>
      <c r="QRQ1" s="434"/>
      <c r="QRR1" s="434"/>
      <c r="QRS1" s="434"/>
      <c r="QRT1" s="434"/>
      <c r="QRU1" s="434"/>
      <c r="QRV1" s="434"/>
      <c r="QRW1" s="434"/>
      <c r="QRX1" s="434"/>
      <c r="QRY1" s="434"/>
      <c r="QRZ1" s="434"/>
      <c r="QSA1" s="434"/>
      <c r="QSB1" s="434"/>
      <c r="QSC1" s="434"/>
      <c r="QSD1" s="434"/>
      <c r="QSE1" s="434"/>
      <c r="QSF1" s="434"/>
      <c r="QSG1" s="434"/>
      <c r="QSH1" s="434"/>
      <c r="QSI1" s="434"/>
      <c r="QSJ1" s="434"/>
      <c r="QSK1" s="434"/>
      <c r="QSL1" s="434"/>
      <c r="QSM1" s="434"/>
      <c r="QSN1" s="434"/>
      <c r="QSO1" s="434"/>
      <c r="QSP1" s="434"/>
      <c r="QSQ1" s="434"/>
      <c r="QSR1" s="434"/>
      <c r="QSS1" s="434"/>
      <c r="QST1" s="434"/>
      <c r="QSU1" s="434"/>
      <c r="QSV1" s="434"/>
      <c r="QSW1" s="434"/>
      <c r="QSX1" s="434"/>
      <c r="QSY1" s="434"/>
      <c r="QSZ1" s="434"/>
      <c r="QTA1" s="434"/>
      <c r="QTB1" s="434"/>
      <c r="QTC1" s="434"/>
      <c r="QTD1" s="434"/>
      <c r="QTE1" s="434"/>
      <c r="QTF1" s="434"/>
      <c r="QTG1" s="434"/>
      <c r="QTH1" s="434"/>
      <c r="QTI1" s="434"/>
      <c r="QTJ1" s="434"/>
      <c r="QTK1" s="434"/>
      <c r="QTL1" s="434"/>
      <c r="QTM1" s="434"/>
      <c r="QTN1" s="434"/>
      <c r="QTO1" s="434"/>
      <c r="QTP1" s="434"/>
      <c r="QTQ1" s="434"/>
      <c r="QTR1" s="434"/>
      <c r="QTS1" s="434"/>
      <c r="QTT1" s="434"/>
      <c r="QTU1" s="434"/>
      <c r="QTV1" s="434"/>
      <c r="QTW1" s="434"/>
      <c r="QTX1" s="434"/>
      <c r="QTY1" s="434"/>
      <c r="QTZ1" s="434"/>
      <c r="QUA1" s="434"/>
      <c r="QUB1" s="434"/>
      <c r="QUC1" s="434"/>
      <c r="QUD1" s="434"/>
      <c r="QUE1" s="434"/>
      <c r="QUF1" s="434"/>
      <c r="QUG1" s="434"/>
      <c r="QUH1" s="434"/>
      <c r="QUI1" s="434"/>
      <c r="QUJ1" s="434"/>
      <c r="QUK1" s="434"/>
      <c r="QUL1" s="434"/>
      <c r="QUM1" s="434"/>
      <c r="QUN1" s="434"/>
      <c r="QUO1" s="434"/>
      <c r="QUP1" s="434"/>
      <c r="QUQ1" s="434"/>
      <c r="QUR1" s="434"/>
      <c r="QUS1" s="434"/>
      <c r="QUT1" s="434"/>
      <c r="QUU1" s="434"/>
      <c r="QUV1" s="434"/>
      <c r="QUW1" s="434"/>
      <c r="QUX1" s="434"/>
      <c r="QUY1" s="434"/>
      <c r="QUZ1" s="434"/>
      <c r="QVA1" s="434"/>
      <c r="QVB1" s="434"/>
      <c r="QVC1" s="434"/>
      <c r="QVD1" s="434"/>
      <c r="QVE1" s="434"/>
      <c r="QVF1" s="434"/>
      <c r="QVG1" s="434"/>
      <c r="QVH1" s="434"/>
      <c r="QVI1" s="434"/>
      <c r="QVJ1" s="434"/>
      <c r="QVK1" s="434"/>
      <c r="QVL1" s="434"/>
      <c r="QVM1" s="434"/>
      <c r="QVN1" s="434"/>
      <c r="QVO1" s="434"/>
      <c r="QVP1" s="434"/>
      <c r="QVQ1" s="434"/>
      <c r="QVR1" s="434"/>
      <c r="QVS1" s="434"/>
      <c r="QVT1" s="434"/>
      <c r="QVU1" s="434"/>
      <c r="QVV1" s="434"/>
      <c r="QVW1" s="434"/>
      <c r="QVX1" s="434"/>
      <c r="QVY1" s="434"/>
      <c r="QVZ1" s="434"/>
      <c r="QWA1" s="434"/>
      <c r="QWB1" s="434"/>
      <c r="QWC1" s="434"/>
      <c r="QWD1" s="434"/>
      <c r="QWE1" s="434"/>
      <c r="QWF1" s="434"/>
      <c r="QWG1" s="434"/>
      <c r="QWH1" s="434"/>
      <c r="QWI1" s="434"/>
      <c r="QWJ1" s="434"/>
      <c r="QWK1" s="434"/>
      <c r="QWL1" s="434"/>
      <c r="QWM1" s="434"/>
      <c r="QWN1" s="434"/>
      <c r="QWO1" s="434"/>
      <c r="QWP1" s="434"/>
      <c r="QWQ1" s="434"/>
      <c r="QWR1" s="434"/>
      <c r="QWS1" s="434"/>
      <c r="QWT1" s="434"/>
      <c r="QWU1" s="434"/>
      <c r="QWV1" s="434"/>
      <c r="QWW1" s="434"/>
      <c r="QWX1" s="434"/>
      <c r="QWY1" s="434"/>
      <c r="QWZ1" s="434"/>
      <c r="QXA1" s="434"/>
      <c r="QXB1" s="434"/>
      <c r="QXC1" s="434"/>
      <c r="QXD1" s="434"/>
      <c r="QXE1" s="434"/>
      <c r="QXF1" s="434"/>
      <c r="QXG1" s="434"/>
      <c r="QXH1" s="434"/>
      <c r="QXI1" s="434"/>
      <c r="QXJ1" s="434"/>
      <c r="QXK1" s="434"/>
      <c r="QXL1" s="434"/>
      <c r="QXM1" s="434"/>
      <c r="QXN1" s="434"/>
      <c r="QXO1" s="434"/>
      <c r="QXP1" s="434"/>
      <c r="QXQ1" s="434"/>
      <c r="QXR1" s="434"/>
      <c r="QXS1" s="434"/>
      <c r="QXT1" s="434"/>
      <c r="QXU1" s="434"/>
      <c r="QXV1" s="434"/>
      <c r="QXW1" s="434"/>
      <c r="QXX1" s="434"/>
      <c r="QXY1" s="434"/>
      <c r="QXZ1" s="434"/>
      <c r="QYA1" s="434"/>
      <c r="QYB1" s="434"/>
      <c r="QYC1" s="434"/>
      <c r="QYD1" s="434"/>
      <c r="QYE1" s="434"/>
      <c r="QYF1" s="434"/>
      <c r="QYG1" s="434"/>
      <c r="QYH1" s="434"/>
      <c r="QYI1" s="434"/>
      <c r="QYJ1" s="434"/>
      <c r="QYK1" s="434"/>
      <c r="QYL1" s="434"/>
      <c r="QYM1" s="434"/>
      <c r="QYN1" s="434"/>
      <c r="QYO1" s="434"/>
      <c r="QYP1" s="434"/>
      <c r="QYQ1" s="434"/>
      <c r="QYR1" s="434"/>
      <c r="QYS1" s="434"/>
      <c r="QYT1" s="434"/>
      <c r="QYU1" s="434"/>
      <c r="QYV1" s="434"/>
      <c r="QYW1" s="434"/>
      <c r="QYX1" s="434"/>
      <c r="QYY1" s="434"/>
      <c r="QYZ1" s="434"/>
      <c r="QZA1" s="434"/>
      <c r="QZB1" s="434"/>
      <c r="QZC1" s="434"/>
      <c r="QZD1" s="434"/>
      <c r="QZE1" s="434"/>
      <c r="QZF1" s="434"/>
      <c r="QZG1" s="434"/>
      <c r="QZH1" s="434"/>
      <c r="QZI1" s="434"/>
      <c r="QZJ1" s="434"/>
      <c r="QZK1" s="434"/>
      <c r="QZL1" s="434"/>
      <c r="QZM1" s="434"/>
      <c r="QZN1" s="434"/>
      <c r="QZO1" s="434"/>
      <c r="QZP1" s="434"/>
      <c r="QZQ1" s="434"/>
      <c r="QZR1" s="434"/>
      <c r="QZS1" s="434"/>
      <c r="QZT1" s="434"/>
      <c r="QZU1" s="434"/>
      <c r="QZV1" s="434"/>
      <c r="QZW1" s="434"/>
      <c r="QZX1" s="434"/>
      <c r="QZY1" s="434"/>
      <c r="QZZ1" s="434"/>
      <c r="RAA1" s="434"/>
      <c r="RAB1" s="434"/>
      <c r="RAC1" s="434"/>
      <c r="RAD1" s="434"/>
      <c r="RAE1" s="434"/>
      <c r="RAF1" s="434"/>
      <c r="RAG1" s="434"/>
      <c r="RAH1" s="434"/>
      <c r="RAI1" s="434"/>
      <c r="RAJ1" s="434"/>
      <c r="RAK1" s="434"/>
      <c r="RAL1" s="434"/>
      <c r="RAM1" s="434"/>
      <c r="RAN1" s="434"/>
      <c r="RAO1" s="434"/>
      <c r="RAP1" s="434"/>
      <c r="RAQ1" s="434"/>
      <c r="RAR1" s="434"/>
      <c r="RAS1" s="434"/>
      <c r="RAT1" s="434"/>
      <c r="RAU1" s="434"/>
      <c r="RAV1" s="434"/>
      <c r="RAW1" s="434"/>
      <c r="RAX1" s="434"/>
      <c r="RAY1" s="434"/>
      <c r="RAZ1" s="434"/>
      <c r="RBA1" s="434"/>
      <c r="RBB1" s="434"/>
      <c r="RBC1" s="434"/>
      <c r="RBD1" s="434"/>
      <c r="RBE1" s="434"/>
      <c r="RBF1" s="434"/>
      <c r="RBG1" s="434"/>
      <c r="RBH1" s="434"/>
      <c r="RBI1" s="434"/>
      <c r="RBJ1" s="434"/>
      <c r="RBK1" s="434"/>
      <c r="RBL1" s="434"/>
      <c r="RBM1" s="434"/>
      <c r="RBN1" s="434"/>
      <c r="RBO1" s="434"/>
      <c r="RBP1" s="434"/>
      <c r="RBQ1" s="434"/>
      <c r="RBR1" s="434"/>
      <c r="RBS1" s="434"/>
      <c r="RBT1" s="434"/>
      <c r="RBU1" s="434"/>
      <c r="RBV1" s="434"/>
      <c r="RBW1" s="434"/>
      <c r="RBX1" s="434"/>
      <c r="RBY1" s="434"/>
      <c r="RBZ1" s="434"/>
      <c r="RCA1" s="434"/>
      <c r="RCB1" s="434"/>
      <c r="RCC1" s="434"/>
      <c r="RCD1" s="434"/>
      <c r="RCE1" s="434"/>
      <c r="RCF1" s="434"/>
      <c r="RCG1" s="434"/>
      <c r="RCH1" s="434"/>
      <c r="RCI1" s="434"/>
      <c r="RCJ1" s="434"/>
      <c r="RCK1" s="434"/>
      <c r="RCL1" s="434"/>
      <c r="RCM1" s="434"/>
      <c r="RCN1" s="434"/>
      <c r="RCO1" s="434"/>
      <c r="RCP1" s="434"/>
      <c r="RCQ1" s="434"/>
      <c r="RCR1" s="434"/>
      <c r="RCS1" s="434"/>
      <c r="RCT1" s="434"/>
      <c r="RCU1" s="434"/>
      <c r="RCV1" s="434"/>
      <c r="RCW1" s="434"/>
      <c r="RCX1" s="434"/>
      <c r="RCY1" s="434"/>
      <c r="RCZ1" s="434"/>
      <c r="RDA1" s="434"/>
      <c r="RDB1" s="434"/>
      <c r="RDC1" s="434"/>
      <c r="RDD1" s="434"/>
      <c r="RDE1" s="434"/>
      <c r="RDF1" s="434"/>
      <c r="RDG1" s="434"/>
      <c r="RDH1" s="434"/>
      <c r="RDI1" s="434"/>
      <c r="RDJ1" s="434"/>
      <c r="RDK1" s="434"/>
      <c r="RDL1" s="434"/>
      <c r="RDM1" s="434"/>
      <c r="RDN1" s="434"/>
      <c r="RDO1" s="434"/>
      <c r="RDP1" s="434"/>
      <c r="RDQ1" s="434"/>
      <c r="RDR1" s="434"/>
      <c r="RDS1" s="434"/>
      <c r="RDT1" s="434"/>
      <c r="RDU1" s="434"/>
      <c r="RDV1" s="434"/>
      <c r="RDW1" s="434"/>
      <c r="RDX1" s="434"/>
      <c r="RDY1" s="434"/>
      <c r="RDZ1" s="434"/>
      <c r="REA1" s="434"/>
      <c r="REB1" s="434"/>
      <c r="REC1" s="434"/>
      <c r="RED1" s="434"/>
      <c r="REE1" s="434"/>
      <c r="REF1" s="434"/>
      <c r="REG1" s="434"/>
      <c r="REH1" s="434"/>
      <c r="REI1" s="434"/>
      <c r="REJ1" s="434"/>
      <c r="REK1" s="434"/>
      <c r="REL1" s="434"/>
      <c r="REM1" s="434"/>
      <c r="REN1" s="434"/>
      <c r="REO1" s="434"/>
      <c r="REP1" s="434"/>
      <c r="REQ1" s="434"/>
      <c r="RER1" s="434"/>
      <c r="RES1" s="434"/>
      <c r="RET1" s="434"/>
      <c r="REU1" s="434"/>
      <c r="REV1" s="434"/>
      <c r="REW1" s="434"/>
      <c r="REX1" s="434"/>
      <c r="REY1" s="434"/>
      <c r="REZ1" s="434"/>
      <c r="RFA1" s="434"/>
      <c r="RFB1" s="434"/>
      <c r="RFC1" s="434"/>
      <c r="RFD1" s="434"/>
      <c r="RFE1" s="434"/>
      <c r="RFF1" s="434"/>
      <c r="RFG1" s="434"/>
      <c r="RFH1" s="434"/>
      <c r="RFI1" s="434"/>
      <c r="RFJ1" s="434"/>
      <c r="RFK1" s="434"/>
      <c r="RFL1" s="434"/>
      <c r="RFM1" s="434"/>
      <c r="RFN1" s="434"/>
      <c r="RFO1" s="434"/>
      <c r="RFP1" s="434"/>
      <c r="RFQ1" s="434"/>
      <c r="RFR1" s="434"/>
      <c r="RFS1" s="434"/>
      <c r="RFT1" s="434"/>
      <c r="RFU1" s="434"/>
      <c r="RFV1" s="434"/>
      <c r="RFW1" s="434"/>
      <c r="RFX1" s="434"/>
      <c r="RFY1" s="434"/>
      <c r="RFZ1" s="434"/>
      <c r="RGA1" s="434"/>
      <c r="RGB1" s="434"/>
      <c r="RGC1" s="434"/>
      <c r="RGD1" s="434"/>
      <c r="RGE1" s="434"/>
      <c r="RGF1" s="434"/>
      <c r="RGG1" s="434"/>
      <c r="RGH1" s="434"/>
      <c r="RGI1" s="434"/>
      <c r="RGJ1" s="434"/>
      <c r="RGK1" s="434"/>
      <c r="RGL1" s="434"/>
      <c r="RGM1" s="434"/>
      <c r="RGN1" s="434"/>
      <c r="RGO1" s="434"/>
      <c r="RGP1" s="434"/>
      <c r="RGQ1" s="434"/>
      <c r="RGR1" s="434"/>
      <c r="RGS1" s="434"/>
      <c r="RGT1" s="434"/>
      <c r="RGU1" s="434"/>
      <c r="RGV1" s="434"/>
      <c r="RGW1" s="434"/>
      <c r="RGX1" s="434"/>
      <c r="RGY1" s="434"/>
      <c r="RGZ1" s="434"/>
      <c r="RHA1" s="434"/>
      <c r="RHB1" s="434"/>
      <c r="RHC1" s="434"/>
      <c r="RHD1" s="434"/>
      <c r="RHE1" s="434"/>
      <c r="RHF1" s="434"/>
      <c r="RHG1" s="434"/>
      <c r="RHH1" s="434"/>
      <c r="RHI1" s="434"/>
      <c r="RHJ1" s="434"/>
      <c r="RHK1" s="434"/>
      <c r="RHL1" s="434"/>
      <c r="RHM1" s="434"/>
      <c r="RHN1" s="434"/>
      <c r="RHO1" s="434"/>
      <c r="RHP1" s="434"/>
      <c r="RHQ1" s="434"/>
      <c r="RHR1" s="434"/>
      <c r="RHS1" s="434"/>
      <c r="RHT1" s="434"/>
      <c r="RHU1" s="434"/>
      <c r="RHV1" s="434"/>
      <c r="RHW1" s="434"/>
      <c r="RHX1" s="434"/>
      <c r="RHY1" s="434"/>
      <c r="RHZ1" s="434"/>
      <c r="RIA1" s="434"/>
      <c r="RIB1" s="434"/>
      <c r="RIC1" s="434"/>
      <c r="RID1" s="434"/>
      <c r="RIE1" s="434"/>
      <c r="RIF1" s="434"/>
      <c r="RIG1" s="434"/>
      <c r="RIH1" s="434"/>
      <c r="RII1" s="434"/>
      <c r="RIJ1" s="434"/>
      <c r="RIK1" s="434"/>
      <c r="RIL1" s="434"/>
      <c r="RIM1" s="434"/>
      <c r="RIN1" s="434"/>
      <c r="RIO1" s="434"/>
      <c r="RIP1" s="434"/>
      <c r="RIQ1" s="434"/>
      <c r="RIR1" s="434"/>
      <c r="RIS1" s="434"/>
      <c r="RIT1" s="434"/>
      <c r="RIU1" s="434"/>
      <c r="RIV1" s="434"/>
      <c r="RIW1" s="434"/>
      <c r="RIX1" s="434"/>
      <c r="RIY1" s="434"/>
      <c r="RIZ1" s="434"/>
      <c r="RJA1" s="434"/>
      <c r="RJB1" s="434"/>
      <c r="RJC1" s="434"/>
      <c r="RJD1" s="434"/>
      <c r="RJE1" s="434"/>
      <c r="RJF1" s="434"/>
      <c r="RJG1" s="434"/>
      <c r="RJH1" s="434"/>
      <c r="RJI1" s="434"/>
      <c r="RJJ1" s="434"/>
      <c r="RJK1" s="434"/>
      <c r="RJL1" s="434"/>
      <c r="RJM1" s="434"/>
      <c r="RJN1" s="434"/>
      <c r="RJO1" s="434"/>
      <c r="RJP1" s="434"/>
      <c r="RJQ1" s="434"/>
      <c r="RJR1" s="434"/>
      <c r="RJS1" s="434"/>
      <c r="RJT1" s="434"/>
      <c r="RJU1" s="434"/>
      <c r="RJV1" s="434"/>
      <c r="RJW1" s="434"/>
      <c r="RJX1" s="434"/>
      <c r="RJY1" s="434"/>
      <c r="RJZ1" s="434"/>
      <c r="RKA1" s="434"/>
      <c r="RKB1" s="434"/>
      <c r="RKC1" s="434"/>
      <c r="RKD1" s="434"/>
      <c r="RKE1" s="434"/>
      <c r="RKF1" s="434"/>
      <c r="RKG1" s="434"/>
      <c r="RKH1" s="434"/>
      <c r="RKI1" s="434"/>
      <c r="RKJ1" s="434"/>
      <c r="RKK1" s="434"/>
      <c r="RKL1" s="434"/>
      <c r="RKM1" s="434"/>
      <c r="RKN1" s="434"/>
      <c r="RKO1" s="434"/>
      <c r="RKP1" s="434"/>
      <c r="RKQ1" s="434"/>
      <c r="RKR1" s="434"/>
      <c r="RKS1" s="434"/>
      <c r="RKT1" s="434"/>
      <c r="RKU1" s="434"/>
      <c r="RKV1" s="434"/>
      <c r="RKW1" s="434"/>
      <c r="RKX1" s="434"/>
      <c r="RKY1" s="434"/>
      <c r="RKZ1" s="434"/>
      <c r="RLA1" s="434"/>
      <c r="RLB1" s="434"/>
      <c r="RLC1" s="434"/>
      <c r="RLD1" s="434"/>
      <c r="RLE1" s="434"/>
      <c r="RLF1" s="434"/>
      <c r="RLG1" s="434"/>
      <c r="RLH1" s="434"/>
      <c r="RLI1" s="434"/>
      <c r="RLJ1" s="434"/>
      <c r="RLK1" s="434"/>
      <c r="RLL1" s="434"/>
      <c r="RLM1" s="434"/>
      <c r="RLN1" s="434"/>
      <c r="RLO1" s="434"/>
      <c r="RLP1" s="434"/>
      <c r="RLQ1" s="434"/>
      <c r="RLR1" s="434"/>
      <c r="RLS1" s="434"/>
      <c r="RLT1" s="434"/>
      <c r="RLU1" s="434"/>
      <c r="RLV1" s="434"/>
      <c r="RLW1" s="434"/>
      <c r="RLX1" s="434"/>
      <c r="RLY1" s="434"/>
      <c r="RLZ1" s="434"/>
      <c r="RMA1" s="434"/>
      <c r="RMB1" s="434"/>
      <c r="RMC1" s="434"/>
      <c r="RMD1" s="434"/>
      <c r="RME1" s="434"/>
      <c r="RMF1" s="434"/>
      <c r="RMG1" s="434"/>
      <c r="RMH1" s="434"/>
      <c r="RMI1" s="434"/>
      <c r="RMJ1" s="434"/>
      <c r="RMK1" s="434"/>
      <c r="RML1" s="434"/>
      <c r="RMM1" s="434"/>
      <c r="RMN1" s="434"/>
      <c r="RMO1" s="434"/>
      <c r="RMP1" s="434"/>
      <c r="RMQ1" s="434"/>
      <c r="RMR1" s="434"/>
      <c r="RMS1" s="434"/>
      <c r="RMT1" s="434"/>
      <c r="RMU1" s="434"/>
      <c r="RMV1" s="434"/>
      <c r="RMW1" s="434"/>
      <c r="RMX1" s="434"/>
      <c r="RMY1" s="434"/>
      <c r="RMZ1" s="434"/>
      <c r="RNA1" s="434"/>
      <c r="RNB1" s="434"/>
      <c r="RNC1" s="434"/>
      <c r="RND1" s="434"/>
      <c r="RNE1" s="434"/>
      <c r="RNF1" s="434"/>
      <c r="RNG1" s="434"/>
      <c r="RNH1" s="434"/>
      <c r="RNI1" s="434"/>
      <c r="RNJ1" s="434"/>
      <c r="RNK1" s="434"/>
      <c r="RNL1" s="434"/>
      <c r="RNM1" s="434"/>
      <c r="RNN1" s="434"/>
      <c r="RNO1" s="434"/>
      <c r="RNP1" s="434"/>
      <c r="RNQ1" s="434"/>
      <c r="RNR1" s="434"/>
      <c r="RNS1" s="434"/>
      <c r="RNT1" s="434"/>
      <c r="RNU1" s="434"/>
      <c r="RNV1" s="434"/>
      <c r="RNW1" s="434"/>
      <c r="RNX1" s="434"/>
      <c r="RNY1" s="434"/>
      <c r="RNZ1" s="434"/>
      <c r="ROA1" s="434"/>
      <c r="ROB1" s="434"/>
      <c r="ROC1" s="434"/>
      <c r="ROD1" s="434"/>
      <c r="ROE1" s="434"/>
      <c r="ROF1" s="434"/>
      <c r="ROG1" s="434"/>
      <c r="ROH1" s="434"/>
      <c r="ROI1" s="434"/>
      <c r="ROJ1" s="434"/>
      <c r="ROK1" s="434"/>
      <c r="ROL1" s="434"/>
      <c r="ROM1" s="434"/>
      <c r="RON1" s="434"/>
      <c r="ROO1" s="434"/>
      <c r="ROP1" s="434"/>
      <c r="ROQ1" s="434"/>
      <c r="ROR1" s="434"/>
      <c r="ROS1" s="434"/>
      <c r="ROT1" s="434"/>
      <c r="ROU1" s="434"/>
      <c r="ROV1" s="434"/>
      <c r="ROW1" s="434"/>
      <c r="ROX1" s="434"/>
      <c r="ROY1" s="434"/>
      <c r="ROZ1" s="434"/>
      <c r="RPA1" s="434"/>
      <c r="RPB1" s="434"/>
      <c r="RPC1" s="434"/>
      <c r="RPD1" s="434"/>
      <c r="RPE1" s="434"/>
      <c r="RPF1" s="434"/>
      <c r="RPG1" s="434"/>
      <c r="RPH1" s="434"/>
      <c r="RPI1" s="434"/>
      <c r="RPJ1" s="434"/>
      <c r="RPK1" s="434"/>
      <c r="RPL1" s="434"/>
      <c r="RPM1" s="434"/>
      <c r="RPN1" s="434"/>
      <c r="RPO1" s="434"/>
      <c r="RPP1" s="434"/>
      <c r="RPQ1" s="434"/>
      <c r="RPR1" s="434"/>
      <c r="RPS1" s="434"/>
      <c r="RPT1" s="434"/>
      <c r="RPU1" s="434"/>
      <c r="RPV1" s="434"/>
      <c r="RPW1" s="434"/>
      <c r="RPX1" s="434"/>
      <c r="RPY1" s="434"/>
      <c r="RPZ1" s="434"/>
      <c r="RQA1" s="434"/>
      <c r="RQB1" s="434"/>
      <c r="RQC1" s="434"/>
      <c r="RQD1" s="434"/>
      <c r="RQE1" s="434"/>
      <c r="RQF1" s="434"/>
      <c r="RQG1" s="434"/>
      <c r="RQH1" s="434"/>
      <c r="RQI1" s="434"/>
      <c r="RQJ1" s="434"/>
      <c r="RQK1" s="434"/>
      <c r="RQL1" s="434"/>
      <c r="RQM1" s="434"/>
      <c r="RQN1" s="434"/>
      <c r="RQO1" s="434"/>
      <c r="RQP1" s="434"/>
      <c r="RQQ1" s="434"/>
      <c r="RQR1" s="434"/>
      <c r="RQS1" s="434"/>
      <c r="RQT1" s="434"/>
      <c r="RQU1" s="434"/>
      <c r="RQV1" s="434"/>
      <c r="RQW1" s="434"/>
      <c r="RQX1" s="434"/>
      <c r="RQY1" s="434"/>
      <c r="RQZ1" s="434"/>
      <c r="RRA1" s="434"/>
      <c r="RRB1" s="434"/>
      <c r="RRC1" s="434"/>
      <c r="RRD1" s="434"/>
      <c r="RRE1" s="434"/>
      <c r="RRF1" s="434"/>
      <c r="RRG1" s="434"/>
      <c r="RRH1" s="434"/>
      <c r="RRI1" s="434"/>
      <c r="RRJ1" s="434"/>
      <c r="RRK1" s="434"/>
      <c r="RRL1" s="434"/>
      <c r="RRM1" s="434"/>
      <c r="RRN1" s="434"/>
      <c r="RRO1" s="434"/>
      <c r="RRP1" s="434"/>
      <c r="RRQ1" s="434"/>
      <c r="RRR1" s="434"/>
      <c r="RRS1" s="434"/>
      <c r="RRT1" s="434"/>
      <c r="RRU1" s="434"/>
      <c r="RRV1" s="434"/>
      <c r="RRW1" s="434"/>
      <c r="RRX1" s="434"/>
      <c r="RRY1" s="434"/>
      <c r="RRZ1" s="434"/>
      <c r="RSA1" s="434"/>
      <c r="RSB1" s="434"/>
      <c r="RSC1" s="434"/>
      <c r="RSD1" s="434"/>
      <c r="RSE1" s="434"/>
      <c r="RSF1" s="434"/>
      <c r="RSG1" s="434"/>
      <c r="RSH1" s="434"/>
      <c r="RSI1" s="434"/>
      <c r="RSJ1" s="434"/>
      <c r="RSK1" s="434"/>
      <c r="RSL1" s="434"/>
      <c r="RSM1" s="434"/>
      <c r="RSN1" s="434"/>
      <c r="RSO1" s="434"/>
      <c r="RSP1" s="434"/>
      <c r="RSQ1" s="434"/>
      <c r="RSR1" s="434"/>
      <c r="RSS1" s="434"/>
      <c r="RST1" s="434"/>
      <c r="RSU1" s="434"/>
      <c r="RSV1" s="434"/>
      <c r="RSW1" s="434"/>
      <c r="RSX1" s="434"/>
      <c r="RSY1" s="434"/>
      <c r="RSZ1" s="434"/>
      <c r="RTA1" s="434"/>
      <c r="RTB1" s="434"/>
      <c r="RTC1" s="434"/>
      <c r="RTD1" s="434"/>
      <c r="RTE1" s="434"/>
      <c r="RTF1" s="434"/>
      <c r="RTG1" s="434"/>
      <c r="RTH1" s="434"/>
      <c r="RTI1" s="434"/>
      <c r="RTJ1" s="434"/>
      <c r="RTK1" s="434"/>
      <c r="RTL1" s="434"/>
      <c r="RTM1" s="434"/>
      <c r="RTN1" s="434"/>
      <c r="RTO1" s="434"/>
      <c r="RTP1" s="434"/>
      <c r="RTQ1" s="434"/>
      <c r="RTR1" s="434"/>
      <c r="RTS1" s="434"/>
      <c r="RTT1" s="434"/>
      <c r="RTU1" s="434"/>
      <c r="RTV1" s="434"/>
      <c r="RTW1" s="434"/>
      <c r="RTX1" s="434"/>
      <c r="RTY1" s="434"/>
      <c r="RTZ1" s="434"/>
      <c r="RUA1" s="434"/>
      <c r="RUB1" s="434"/>
      <c r="RUC1" s="434"/>
      <c r="RUD1" s="434"/>
      <c r="RUE1" s="434"/>
      <c r="RUF1" s="434"/>
      <c r="RUG1" s="434"/>
      <c r="RUH1" s="434"/>
      <c r="RUI1" s="434"/>
      <c r="RUJ1" s="434"/>
      <c r="RUK1" s="434"/>
      <c r="RUL1" s="434"/>
      <c r="RUM1" s="434"/>
      <c r="RUN1" s="434"/>
      <c r="RUO1" s="434"/>
      <c r="RUP1" s="434"/>
      <c r="RUQ1" s="434"/>
      <c r="RUR1" s="434"/>
      <c r="RUS1" s="434"/>
      <c r="RUT1" s="434"/>
      <c r="RUU1" s="434"/>
      <c r="RUV1" s="434"/>
      <c r="RUW1" s="434"/>
      <c r="RUX1" s="434"/>
      <c r="RUY1" s="434"/>
      <c r="RUZ1" s="434"/>
      <c r="RVA1" s="434"/>
      <c r="RVB1" s="434"/>
      <c r="RVC1" s="434"/>
      <c r="RVD1" s="434"/>
      <c r="RVE1" s="434"/>
      <c r="RVF1" s="434"/>
      <c r="RVG1" s="434"/>
      <c r="RVH1" s="434"/>
      <c r="RVI1" s="434"/>
      <c r="RVJ1" s="434"/>
      <c r="RVK1" s="434"/>
      <c r="RVL1" s="434"/>
      <c r="RVM1" s="434"/>
      <c r="RVN1" s="434"/>
      <c r="RVO1" s="434"/>
      <c r="RVP1" s="434"/>
      <c r="RVQ1" s="434"/>
      <c r="RVR1" s="434"/>
      <c r="RVS1" s="434"/>
      <c r="RVT1" s="434"/>
      <c r="RVU1" s="434"/>
      <c r="RVV1" s="434"/>
      <c r="RVW1" s="434"/>
      <c r="RVX1" s="434"/>
      <c r="RVY1" s="434"/>
      <c r="RVZ1" s="434"/>
      <c r="RWA1" s="434"/>
      <c r="RWB1" s="434"/>
      <c r="RWC1" s="434"/>
      <c r="RWD1" s="434"/>
      <c r="RWE1" s="434"/>
      <c r="RWF1" s="434"/>
      <c r="RWG1" s="434"/>
      <c r="RWH1" s="434"/>
      <c r="RWI1" s="434"/>
      <c r="RWJ1" s="434"/>
      <c r="RWK1" s="434"/>
      <c r="RWL1" s="434"/>
      <c r="RWM1" s="434"/>
      <c r="RWN1" s="434"/>
      <c r="RWO1" s="434"/>
      <c r="RWP1" s="434"/>
      <c r="RWQ1" s="434"/>
      <c r="RWR1" s="434"/>
      <c r="RWS1" s="434"/>
      <c r="RWT1" s="434"/>
      <c r="RWU1" s="434"/>
      <c r="RWV1" s="434"/>
      <c r="RWW1" s="434"/>
      <c r="RWX1" s="434"/>
      <c r="RWY1" s="434"/>
      <c r="RWZ1" s="434"/>
      <c r="RXA1" s="434"/>
      <c r="RXB1" s="434"/>
      <c r="RXC1" s="434"/>
      <c r="RXD1" s="434"/>
      <c r="RXE1" s="434"/>
      <c r="RXF1" s="434"/>
      <c r="RXG1" s="434"/>
      <c r="RXH1" s="434"/>
      <c r="RXI1" s="434"/>
      <c r="RXJ1" s="434"/>
      <c r="RXK1" s="434"/>
      <c r="RXL1" s="434"/>
      <c r="RXM1" s="434"/>
      <c r="RXN1" s="434"/>
      <c r="RXO1" s="434"/>
      <c r="RXP1" s="434"/>
      <c r="RXQ1" s="434"/>
      <c r="RXR1" s="434"/>
      <c r="RXS1" s="434"/>
      <c r="RXT1" s="434"/>
      <c r="RXU1" s="434"/>
      <c r="RXV1" s="434"/>
      <c r="RXW1" s="434"/>
      <c r="RXX1" s="434"/>
      <c r="RXY1" s="434"/>
      <c r="RXZ1" s="434"/>
      <c r="RYA1" s="434"/>
      <c r="RYB1" s="434"/>
      <c r="RYC1" s="434"/>
      <c r="RYD1" s="434"/>
      <c r="RYE1" s="434"/>
      <c r="RYF1" s="434"/>
      <c r="RYG1" s="434"/>
      <c r="RYH1" s="434"/>
      <c r="RYI1" s="434"/>
      <c r="RYJ1" s="434"/>
      <c r="RYK1" s="434"/>
      <c r="RYL1" s="434"/>
      <c r="RYM1" s="434"/>
      <c r="RYN1" s="434"/>
      <c r="RYO1" s="434"/>
      <c r="RYP1" s="434"/>
      <c r="RYQ1" s="434"/>
      <c r="RYR1" s="434"/>
      <c r="RYS1" s="434"/>
      <c r="RYT1" s="434"/>
      <c r="RYU1" s="434"/>
      <c r="RYV1" s="434"/>
      <c r="RYW1" s="434"/>
      <c r="RYX1" s="434"/>
      <c r="RYY1" s="434"/>
      <c r="RYZ1" s="434"/>
      <c r="RZA1" s="434"/>
      <c r="RZB1" s="434"/>
      <c r="RZC1" s="434"/>
      <c r="RZD1" s="434"/>
      <c r="RZE1" s="434"/>
      <c r="RZF1" s="434"/>
      <c r="RZG1" s="434"/>
      <c r="RZH1" s="434"/>
      <c r="RZI1" s="434"/>
      <c r="RZJ1" s="434"/>
      <c r="RZK1" s="434"/>
      <c r="RZL1" s="434"/>
      <c r="RZM1" s="434"/>
      <c r="RZN1" s="434"/>
      <c r="RZO1" s="434"/>
      <c r="RZP1" s="434"/>
      <c r="RZQ1" s="434"/>
      <c r="RZR1" s="434"/>
      <c r="RZS1" s="434"/>
      <c r="RZT1" s="434"/>
      <c r="RZU1" s="434"/>
      <c r="RZV1" s="434"/>
      <c r="RZW1" s="434"/>
      <c r="RZX1" s="434"/>
      <c r="RZY1" s="434"/>
      <c r="RZZ1" s="434"/>
      <c r="SAA1" s="434"/>
      <c r="SAB1" s="434"/>
      <c r="SAC1" s="434"/>
      <c r="SAD1" s="434"/>
      <c r="SAE1" s="434"/>
      <c r="SAF1" s="434"/>
      <c r="SAG1" s="434"/>
      <c r="SAH1" s="434"/>
      <c r="SAI1" s="434"/>
      <c r="SAJ1" s="434"/>
      <c r="SAK1" s="434"/>
      <c r="SAL1" s="434"/>
      <c r="SAM1" s="434"/>
      <c r="SAN1" s="434"/>
      <c r="SAO1" s="434"/>
      <c r="SAP1" s="434"/>
      <c r="SAQ1" s="434"/>
      <c r="SAR1" s="434"/>
      <c r="SAS1" s="434"/>
      <c r="SAT1" s="434"/>
      <c r="SAU1" s="434"/>
      <c r="SAV1" s="434"/>
      <c r="SAW1" s="434"/>
      <c r="SAX1" s="434"/>
      <c r="SAY1" s="434"/>
      <c r="SAZ1" s="434"/>
      <c r="SBA1" s="434"/>
      <c r="SBB1" s="434"/>
      <c r="SBC1" s="434"/>
      <c r="SBD1" s="434"/>
      <c r="SBE1" s="434"/>
      <c r="SBF1" s="434"/>
      <c r="SBG1" s="434"/>
      <c r="SBH1" s="434"/>
      <c r="SBI1" s="434"/>
      <c r="SBJ1" s="434"/>
      <c r="SBK1" s="434"/>
      <c r="SBL1" s="434"/>
      <c r="SBM1" s="434"/>
      <c r="SBN1" s="434"/>
      <c r="SBO1" s="434"/>
      <c r="SBP1" s="434"/>
      <c r="SBQ1" s="434"/>
      <c r="SBR1" s="434"/>
      <c r="SBS1" s="434"/>
      <c r="SBT1" s="434"/>
      <c r="SBU1" s="434"/>
      <c r="SBV1" s="434"/>
      <c r="SBW1" s="434"/>
      <c r="SBX1" s="434"/>
      <c r="SBY1" s="434"/>
      <c r="SBZ1" s="434"/>
      <c r="SCA1" s="434"/>
      <c r="SCB1" s="434"/>
      <c r="SCC1" s="434"/>
      <c r="SCD1" s="434"/>
      <c r="SCE1" s="434"/>
      <c r="SCF1" s="434"/>
      <c r="SCG1" s="434"/>
      <c r="SCH1" s="434"/>
      <c r="SCI1" s="434"/>
      <c r="SCJ1" s="434"/>
      <c r="SCK1" s="434"/>
      <c r="SCL1" s="434"/>
      <c r="SCM1" s="434"/>
      <c r="SCN1" s="434"/>
      <c r="SCO1" s="434"/>
      <c r="SCP1" s="434"/>
      <c r="SCQ1" s="434"/>
      <c r="SCR1" s="434"/>
      <c r="SCS1" s="434"/>
      <c r="SCT1" s="434"/>
      <c r="SCU1" s="434"/>
      <c r="SCV1" s="434"/>
      <c r="SCW1" s="434"/>
      <c r="SCX1" s="434"/>
      <c r="SCY1" s="434"/>
      <c r="SCZ1" s="434"/>
      <c r="SDA1" s="434"/>
      <c r="SDB1" s="434"/>
      <c r="SDC1" s="434"/>
      <c r="SDD1" s="434"/>
      <c r="SDE1" s="434"/>
      <c r="SDF1" s="434"/>
      <c r="SDG1" s="434"/>
      <c r="SDH1" s="434"/>
      <c r="SDI1" s="434"/>
      <c r="SDJ1" s="434"/>
      <c r="SDK1" s="434"/>
      <c r="SDL1" s="434"/>
      <c r="SDM1" s="434"/>
      <c r="SDN1" s="434"/>
      <c r="SDO1" s="434"/>
      <c r="SDP1" s="434"/>
      <c r="SDQ1" s="434"/>
      <c r="SDR1" s="434"/>
      <c r="SDS1" s="434"/>
      <c r="SDT1" s="434"/>
      <c r="SDU1" s="434"/>
      <c r="SDV1" s="434"/>
      <c r="SDW1" s="434"/>
      <c r="SDX1" s="434"/>
      <c r="SDY1" s="434"/>
      <c r="SDZ1" s="434"/>
      <c r="SEA1" s="434"/>
      <c r="SEB1" s="434"/>
      <c r="SEC1" s="434"/>
      <c r="SED1" s="434"/>
      <c r="SEE1" s="434"/>
      <c r="SEF1" s="434"/>
      <c r="SEG1" s="434"/>
      <c r="SEH1" s="434"/>
      <c r="SEI1" s="434"/>
      <c r="SEJ1" s="434"/>
      <c r="SEK1" s="434"/>
      <c r="SEL1" s="434"/>
      <c r="SEM1" s="434"/>
      <c r="SEN1" s="434"/>
      <c r="SEO1" s="434"/>
      <c r="SEP1" s="434"/>
      <c r="SEQ1" s="434"/>
      <c r="SER1" s="434"/>
      <c r="SES1" s="434"/>
      <c r="SET1" s="434"/>
      <c r="SEU1" s="434"/>
      <c r="SEV1" s="434"/>
      <c r="SEW1" s="434"/>
      <c r="SEX1" s="434"/>
      <c r="SEY1" s="434"/>
      <c r="SEZ1" s="434"/>
      <c r="SFA1" s="434"/>
      <c r="SFB1" s="434"/>
      <c r="SFC1" s="434"/>
      <c r="SFD1" s="434"/>
      <c r="SFE1" s="434"/>
      <c r="SFF1" s="434"/>
      <c r="SFG1" s="434"/>
      <c r="SFH1" s="434"/>
      <c r="SFI1" s="434"/>
      <c r="SFJ1" s="434"/>
      <c r="SFK1" s="434"/>
      <c r="SFL1" s="434"/>
      <c r="SFM1" s="434"/>
      <c r="SFN1" s="434"/>
      <c r="SFO1" s="434"/>
      <c r="SFP1" s="434"/>
      <c r="SFQ1" s="434"/>
      <c r="SFR1" s="434"/>
      <c r="SFS1" s="434"/>
      <c r="SFT1" s="434"/>
      <c r="SFU1" s="434"/>
      <c r="SFV1" s="434"/>
      <c r="SFW1" s="434"/>
      <c r="SFX1" s="434"/>
      <c r="SFY1" s="434"/>
      <c r="SFZ1" s="434"/>
      <c r="SGA1" s="434"/>
      <c r="SGB1" s="434"/>
      <c r="SGC1" s="434"/>
      <c r="SGD1" s="434"/>
      <c r="SGE1" s="434"/>
      <c r="SGF1" s="434"/>
      <c r="SGG1" s="434"/>
      <c r="SGH1" s="434"/>
      <c r="SGI1" s="434"/>
      <c r="SGJ1" s="434"/>
      <c r="SGK1" s="434"/>
      <c r="SGL1" s="434"/>
      <c r="SGM1" s="434"/>
      <c r="SGN1" s="434"/>
      <c r="SGO1" s="434"/>
      <c r="SGP1" s="434"/>
      <c r="SGQ1" s="434"/>
      <c r="SGR1" s="434"/>
      <c r="SGS1" s="434"/>
      <c r="SGT1" s="434"/>
      <c r="SGU1" s="434"/>
      <c r="SGV1" s="434"/>
      <c r="SGW1" s="434"/>
      <c r="SGX1" s="434"/>
      <c r="SGY1" s="434"/>
      <c r="SGZ1" s="434"/>
      <c r="SHA1" s="434"/>
      <c r="SHB1" s="434"/>
      <c r="SHC1" s="434"/>
      <c r="SHD1" s="434"/>
      <c r="SHE1" s="434"/>
      <c r="SHF1" s="434"/>
      <c r="SHG1" s="434"/>
      <c r="SHH1" s="434"/>
      <c r="SHI1" s="434"/>
      <c r="SHJ1" s="434"/>
      <c r="SHK1" s="434"/>
      <c r="SHL1" s="434"/>
      <c r="SHM1" s="434"/>
      <c r="SHN1" s="434"/>
      <c r="SHO1" s="434"/>
      <c r="SHP1" s="434"/>
      <c r="SHQ1" s="434"/>
      <c r="SHR1" s="434"/>
      <c r="SHS1" s="434"/>
      <c r="SHT1" s="434"/>
      <c r="SHU1" s="434"/>
      <c r="SHV1" s="434"/>
      <c r="SHW1" s="434"/>
      <c r="SHX1" s="434"/>
      <c r="SHY1" s="434"/>
      <c r="SHZ1" s="434"/>
      <c r="SIA1" s="434"/>
      <c r="SIB1" s="434"/>
      <c r="SIC1" s="434"/>
      <c r="SID1" s="434"/>
      <c r="SIE1" s="434"/>
      <c r="SIF1" s="434"/>
      <c r="SIG1" s="434"/>
      <c r="SIH1" s="434"/>
      <c r="SII1" s="434"/>
      <c r="SIJ1" s="434"/>
      <c r="SIK1" s="434"/>
      <c r="SIL1" s="434"/>
      <c r="SIM1" s="434"/>
      <c r="SIN1" s="434"/>
      <c r="SIO1" s="434"/>
      <c r="SIP1" s="434"/>
      <c r="SIQ1" s="434"/>
      <c r="SIR1" s="434"/>
      <c r="SIS1" s="434"/>
      <c r="SIT1" s="434"/>
      <c r="SIU1" s="434"/>
      <c r="SIV1" s="434"/>
      <c r="SIW1" s="434"/>
      <c r="SIX1" s="434"/>
      <c r="SIY1" s="434"/>
      <c r="SIZ1" s="434"/>
      <c r="SJA1" s="434"/>
      <c r="SJB1" s="434"/>
      <c r="SJC1" s="434"/>
      <c r="SJD1" s="434"/>
      <c r="SJE1" s="434"/>
      <c r="SJF1" s="434"/>
      <c r="SJG1" s="434"/>
      <c r="SJH1" s="434"/>
      <c r="SJI1" s="434"/>
      <c r="SJJ1" s="434"/>
      <c r="SJK1" s="434"/>
      <c r="SJL1" s="434"/>
      <c r="SJM1" s="434"/>
      <c r="SJN1" s="434"/>
      <c r="SJO1" s="434"/>
      <c r="SJP1" s="434"/>
      <c r="SJQ1" s="434"/>
      <c r="SJR1" s="434"/>
      <c r="SJS1" s="434"/>
      <c r="SJT1" s="434"/>
      <c r="SJU1" s="434"/>
      <c r="SJV1" s="434"/>
      <c r="SJW1" s="434"/>
      <c r="SJX1" s="434"/>
      <c r="SJY1" s="434"/>
      <c r="SJZ1" s="434"/>
      <c r="SKA1" s="434"/>
      <c r="SKB1" s="434"/>
      <c r="SKC1" s="434"/>
      <c r="SKD1" s="434"/>
      <c r="SKE1" s="434"/>
      <c r="SKF1" s="434"/>
      <c r="SKG1" s="434"/>
      <c r="SKH1" s="434"/>
      <c r="SKI1" s="434"/>
      <c r="SKJ1" s="434"/>
      <c r="SKK1" s="434"/>
      <c r="SKL1" s="434"/>
      <c r="SKM1" s="434"/>
      <c r="SKN1" s="434"/>
      <c r="SKO1" s="434"/>
      <c r="SKP1" s="434"/>
      <c r="SKQ1" s="434"/>
      <c r="SKR1" s="434"/>
      <c r="SKS1" s="434"/>
      <c r="SKT1" s="434"/>
      <c r="SKU1" s="434"/>
      <c r="SKV1" s="434"/>
      <c r="SKW1" s="434"/>
      <c r="SKX1" s="434"/>
      <c r="SKY1" s="434"/>
      <c r="SKZ1" s="434"/>
      <c r="SLA1" s="434"/>
      <c r="SLB1" s="434"/>
      <c r="SLC1" s="434"/>
      <c r="SLD1" s="434"/>
      <c r="SLE1" s="434"/>
      <c r="SLF1" s="434"/>
      <c r="SLG1" s="434"/>
      <c r="SLH1" s="434"/>
      <c r="SLI1" s="434"/>
      <c r="SLJ1" s="434"/>
      <c r="SLK1" s="434"/>
      <c r="SLL1" s="434"/>
      <c r="SLM1" s="434"/>
      <c r="SLN1" s="434"/>
      <c r="SLO1" s="434"/>
      <c r="SLP1" s="434"/>
      <c r="SLQ1" s="434"/>
      <c r="SLR1" s="434"/>
      <c r="SLS1" s="434"/>
      <c r="SLT1" s="434"/>
      <c r="SLU1" s="434"/>
      <c r="SLV1" s="434"/>
      <c r="SLW1" s="434"/>
      <c r="SLX1" s="434"/>
      <c r="SLY1" s="434"/>
      <c r="SLZ1" s="434"/>
      <c r="SMA1" s="434"/>
      <c r="SMB1" s="434"/>
      <c r="SMC1" s="434"/>
      <c r="SMD1" s="434"/>
      <c r="SME1" s="434"/>
      <c r="SMF1" s="434"/>
      <c r="SMG1" s="434"/>
      <c r="SMH1" s="434"/>
      <c r="SMI1" s="434"/>
      <c r="SMJ1" s="434"/>
      <c r="SMK1" s="434"/>
      <c r="SML1" s="434"/>
      <c r="SMM1" s="434"/>
      <c r="SMN1" s="434"/>
      <c r="SMO1" s="434"/>
      <c r="SMP1" s="434"/>
      <c r="SMQ1" s="434"/>
      <c r="SMR1" s="434"/>
      <c r="SMS1" s="434"/>
      <c r="SMT1" s="434"/>
      <c r="SMU1" s="434"/>
      <c r="SMV1" s="434"/>
      <c r="SMW1" s="434"/>
      <c r="SMX1" s="434"/>
      <c r="SMY1" s="434"/>
      <c r="SMZ1" s="434"/>
      <c r="SNA1" s="434"/>
      <c r="SNB1" s="434"/>
      <c r="SNC1" s="434"/>
      <c r="SND1" s="434"/>
      <c r="SNE1" s="434"/>
      <c r="SNF1" s="434"/>
      <c r="SNG1" s="434"/>
      <c r="SNH1" s="434"/>
      <c r="SNI1" s="434"/>
      <c r="SNJ1" s="434"/>
      <c r="SNK1" s="434"/>
      <c r="SNL1" s="434"/>
      <c r="SNM1" s="434"/>
      <c r="SNN1" s="434"/>
      <c r="SNO1" s="434"/>
      <c r="SNP1" s="434"/>
      <c r="SNQ1" s="434"/>
      <c r="SNR1" s="434"/>
      <c r="SNS1" s="434"/>
      <c r="SNT1" s="434"/>
      <c r="SNU1" s="434"/>
      <c r="SNV1" s="434"/>
      <c r="SNW1" s="434"/>
      <c r="SNX1" s="434"/>
      <c r="SNY1" s="434"/>
      <c r="SNZ1" s="434"/>
      <c r="SOA1" s="434"/>
      <c r="SOB1" s="434"/>
      <c r="SOC1" s="434"/>
      <c r="SOD1" s="434"/>
      <c r="SOE1" s="434"/>
      <c r="SOF1" s="434"/>
      <c r="SOG1" s="434"/>
      <c r="SOH1" s="434"/>
      <c r="SOI1" s="434"/>
      <c r="SOJ1" s="434"/>
      <c r="SOK1" s="434"/>
      <c r="SOL1" s="434"/>
      <c r="SOM1" s="434"/>
      <c r="SON1" s="434"/>
      <c r="SOO1" s="434"/>
      <c r="SOP1" s="434"/>
      <c r="SOQ1" s="434"/>
      <c r="SOR1" s="434"/>
      <c r="SOS1" s="434"/>
      <c r="SOT1" s="434"/>
      <c r="SOU1" s="434"/>
      <c r="SOV1" s="434"/>
      <c r="SOW1" s="434"/>
      <c r="SOX1" s="434"/>
      <c r="SOY1" s="434"/>
      <c r="SOZ1" s="434"/>
      <c r="SPA1" s="434"/>
      <c r="SPB1" s="434"/>
      <c r="SPC1" s="434"/>
      <c r="SPD1" s="434"/>
      <c r="SPE1" s="434"/>
      <c r="SPF1" s="434"/>
      <c r="SPG1" s="434"/>
      <c r="SPH1" s="434"/>
      <c r="SPI1" s="434"/>
      <c r="SPJ1" s="434"/>
      <c r="SPK1" s="434"/>
      <c r="SPL1" s="434"/>
      <c r="SPM1" s="434"/>
      <c r="SPN1" s="434"/>
      <c r="SPO1" s="434"/>
      <c r="SPP1" s="434"/>
      <c r="SPQ1" s="434"/>
      <c r="SPR1" s="434"/>
      <c r="SPS1" s="434"/>
      <c r="SPT1" s="434"/>
      <c r="SPU1" s="434"/>
      <c r="SPV1" s="434"/>
      <c r="SPW1" s="434"/>
      <c r="SPX1" s="434"/>
      <c r="SPY1" s="434"/>
      <c r="SPZ1" s="434"/>
      <c r="SQA1" s="434"/>
      <c r="SQB1" s="434"/>
      <c r="SQC1" s="434"/>
      <c r="SQD1" s="434"/>
      <c r="SQE1" s="434"/>
      <c r="SQF1" s="434"/>
      <c r="SQG1" s="434"/>
      <c r="SQH1" s="434"/>
      <c r="SQI1" s="434"/>
      <c r="SQJ1" s="434"/>
      <c r="SQK1" s="434"/>
      <c r="SQL1" s="434"/>
      <c r="SQM1" s="434"/>
      <c r="SQN1" s="434"/>
      <c r="SQO1" s="434"/>
      <c r="SQP1" s="434"/>
      <c r="SQQ1" s="434"/>
      <c r="SQR1" s="434"/>
      <c r="SQS1" s="434"/>
      <c r="SQT1" s="434"/>
      <c r="SQU1" s="434"/>
      <c r="SQV1" s="434"/>
      <c r="SQW1" s="434"/>
      <c r="SQX1" s="434"/>
      <c r="SQY1" s="434"/>
      <c r="SQZ1" s="434"/>
      <c r="SRA1" s="434"/>
      <c r="SRB1" s="434"/>
      <c r="SRC1" s="434"/>
      <c r="SRD1" s="434"/>
      <c r="SRE1" s="434"/>
      <c r="SRF1" s="434"/>
      <c r="SRG1" s="434"/>
      <c r="SRH1" s="434"/>
      <c r="SRI1" s="434"/>
      <c r="SRJ1" s="434"/>
      <c r="SRK1" s="434"/>
      <c r="SRL1" s="434"/>
      <c r="SRM1" s="434"/>
      <c r="SRN1" s="434"/>
      <c r="SRO1" s="434"/>
      <c r="SRP1" s="434"/>
      <c r="SRQ1" s="434"/>
      <c r="SRR1" s="434"/>
      <c r="SRS1" s="434"/>
      <c r="SRT1" s="434"/>
      <c r="SRU1" s="434"/>
      <c r="SRV1" s="434"/>
      <c r="SRW1" s="434"/>
      <c r="SRX1" s="434"/>
      <c r="SRY1" s="434"/>
      <c r="SRZ1" s="434"/>
      <c r="SSA1" s="434"/>
      <c r="SSB1" s="434"/>
      <c r="SSC1" s="434"/>
      <c r="SSD1" s="434"/>
      <c r="SSE1" s="434"/>
      <c r="SSF1" s="434"/>
      <c r="SSG1" s="434"/>
      <c r="SSH1" s="434"/>
      <c r="SSI1" s="434"/>
      <c r="SSJ1" s="434"/>
      <c r="SSK1" s="434"/>
      <c r="SSL1" s="434"/>
      <c r="SSM1" s="434"/>
      <c r="SSN1" s="434"/>
      <c r="SSO1" s="434"/>
      <c r="SSP1" s="434"/>
      <c r="SSQ1" s="434"/>
      <c r="SSR1" s="434"/>
      <c r="SSS1" s="434"/>
      <c r="SST1" s="434"/>
      <c r="SSU1" s="434"/>
      <c r="SSV1" s="434"/>
      <c r="SSW1" s="434"/>
      <c r="SSX1" s="434"/>
      <c r="SSY1" s="434"/>
      <c r="SSZ1" s="434"/>
      <c r="STA1" s="434"/>
      <c r="STB1" s="434"/>
      <c r="STC1" s="434"/>
      <c r="STD1" s="434"/>
      <c r="STE1" s="434"/>
      <c r="STF1" s="434"/>
      <c r="STG1" s="434"/>
      <c r="STH1" s="434"/>
      <c r="STI1" s="434"/>
      <c r="STJ1" s="434"/>
      <c r="STK1" s="434"/>
      <c r="STL1" s="434"/>
      <c r="STM1" s="434"/>
      <c r="STN1" s="434"/>
      <c r="STO1" s="434"/>
      <c r="STP1" s="434"/>
      <c r="STQ1" s="434"/>
      <c r="STR1" s="434"/>
      <c r="STS1" s="434"/>
      <c r="STT1" s="434"/>
      <c r="STU1" s="434"/>
      <c r="STV1" s="434"/>
      <c r="STW1" s="434"/>
      <c r="STX1" s="434"/>
      <c r="STY1" s="434"/>
      <c r="STZ1" s="434"/>
      <c r="SUA1" s="434"/>
      <c r="SUB1" s="434"/>
      <c r="SUC1" s="434"/>
      <c r="SUD1" s="434"/>
      <c r="SUE1" s="434"/>
      <c r="SUF1" s="434"/>
      <c r="SUG1" s="434"/>
      <c r="SUH1" s="434"/>
      <c r="SUI1" s="434"/>
      <c r="SUJ1" s="434"/>
      <c r="SUK1" s="434"/>
      <c r="SUL1" s="434"/>
      <c r="SUM1" s="434"/>
      <c r="SUN1" s="434"/>
      <c r="SUO1" s="434"/>
      <c r="SUP1" s="434"/>
      <c r="SUQ1" s="434"/>
      <c r="SUR1" s="434"/>
      <c r="SUS1" s="434"/>
      <c r="SUT1" s="434"/>
      <c r="SUU1" s="434"/>
      <c r="SUV1" s="434"/>
      <c r="SUW1" s="434"/>
      <c r="SUX1" s="434"/>
      <c r="SUY1" s="434"/>
      <c r="SUZ1" s="434"/>
      <c r="SVA1" s="434"/>
      <c r="SVB1" s="434"/>
      <c r="SVC1" s="434"/>
      <c r="SVD1" s="434"/>
      <c r="SVE1" s="434"/>
      <c r="SVF1" s="434"/>
      <c r="SVG1" s="434"/>
      <c r="SVH1" s="434"/>
      <c r="SVI1" s="434"/>
      <c r="SVJ1" s="434"/>
      <c r="SVK1" s="434"/>
      <c r="SVL1" s="434"/>
      <c r="SVM1" s="434"/>
      <c r="SVN1" s="434"/>
      <c r="SVO1" s="434"/>
      <c r="SVP1" s="434"/>
      <c r="SVQ1" s="434"/>
      <c r="SVR1" s="434"/>
      <c r="SVS1" s="434"/>
      <c r="SVT1" s="434"/>
      <c r="SVU1" s="434"/>
      <c r="SVV1" s="434"/>
      <c r="SVW1" s="434"/>
      <c r="SVX1" s="434"/>
      <c r="SVY1" s="434"/>
      <c r="SVZ1" s="434"/>
      <c r="SWA1" s="434"/>
      <c r="SWB1" s="434"/>
      <c r="SWC1" s="434"/>
      <c r="SWD1" s="434"/>
      <c r="SWE1" s="434"/>
      <c r="SWF1" s="434"/>
      <c r="SWG1" s="434"/>
      <c r="SWH1" s="434"/>
      <c r="SWI1" s="434"/>
      <c r="SWJ1" s="434"/>
      <c r="SWK1" s="434"/>
      <c r="SWL1" s="434"/>
      <c r="SWM1" s="434"/>
      <c r="SWN1" s="434"/>
      <c r="SWO1" s="434"/>
      <c r="SWP1" s="434"/>
      <c r="SWQ1" s="434"/>
      <c r="SWR1" s="434"/>
      <c r="SWS1" s="434"/>
      <c r="SWT1" s="434"/>
      <c r="SWU1" s="434"/>
      <c r="SWV1" s="434"/>
      <c r="SWW1" s="434"/>
      <c r="SWX1" s="434"/>
      <c r="SWY1" s="434"/>
      <c r="SWZ1" s="434"/>
      <c r="SXA1" s="434"/>
      <c r="SXB1" s="434"/>
      <c r="SXC1" s="434"/>
      <c r="SXD1" s="434"/>
      <c r="SXE1" s="434"/>
      <c r="SXF1" s="434"/>
      <c r="SXG1" s="434"/>
      <c r="SXH1" s="434"/>
      <c r="SXI1" s="434"/>
      <c r="SXJ1" s="434"/>
      <c r="SXK1" s="434"/>
      <c r="SXL1" s="434"/>
      <c r="SXM1" s="434"/>
      <c r="SXN1" s="434"/>
      <c r="SXO1" s="434"/>
      <c r="SXP1" s="434"/>
      <c r="SXQ1" s="434"/>
      <c r="SXR1" s="434"/>
      <c r="SXS1" s="434"/>
      <c r="SXT1" s="434"/>
      <c r="SXU1" s="434"/>
      <c r="SXV1" s="434"/>
      <c r="SXW1" s="434"/>
      <c r="SXX1" s="434"/>
      <c r="SXY1" s="434"/>
      <c r="SXZ1" s="434"/>
      <c r="SYA1" s="434"/>
      <c r="SYB1" s="434"/>
      <c r="SYC1" s="434"/>
      <c r="SYD1" s="434"/>
      <c r="SYE1" s="434"/>
      <c r="SYF1" s="434"/>
      <c r="SYG1" s="434"/>
      <c r="SYH1" s="434"/>
      <c r="SYI1" s="434"/>
      <c r="SYJ1" s="434"/>
      <c r="SYK1" s="434"/>
      <c r="SYL1" s="434"/>
      <c r="SYM1" s="434"/>
      <c r="SYN1" s="434"/>
      <c r="SYO1" s="434"/>
      <c r="SYP1" s="434"/>
      <c r="SYQ1" s="434"/>
      <c r="SYR1" s="434"/>
      <c r="SYS1" s="434"/>
      <c r="SYT1" s="434"/>
      <c r="SYU1" s="434"/>
      <c r="SYV1" s="434"/>
      <c r="SYW1" s="434"/>
      <c r="SYX1" s="434"/>
      <c r="SYY1" s="434"/>
      <c r="SYZ1" s="434"/>
      <c r="SZA1" s="434"/>
      <c r="SZB1" s="434"/>
      <c r="SZC1" s="434"/>
      <c r="SZD1" s="434"/>
      <c r="SZE1" s="434"/>
      <c r="SZF1" s="434"/>
      <c r="SZG1" s="434"/>
      <c r="SZH1" s="434"/>
      <c r="SZI1" s="434"/>
      <c r="SZJ1" s="434"/>
      <c r="SZK1" s="434"/>
      <c r="SZL1" s="434"/>
      <c r="SZM1" s="434"/>
      <c r="SZN1" s="434"/>
      <c r="SZO1" s="434"/>
      <c r="SZP1" s="434"/>
      <c r="SZQ1" s="434"/>
      <c r="SZR1" s="434"/>
      <c r="SZS1" s="434"/>
      <c r="SZT1" s="434"/>
      <c r="SZU1" s="434"/>
      <c r="SZV1" s="434"/>
      <c r="SZW1" s="434"/>
      <c r="SZX1" s="434"/>
      <c r="SZY1" s="434"/>
      <c r="SZZ1" s="434"/>
      <c r="TAA1" s="434"/>
      <c r="TAB1" s="434"/>
      <c r="TAC1" s="434"/>
      <c r="TAD1" s="434"/>
      <c r="TAE1" s="434"/>
      <c r="TAF1" s="434"/>
      <c r="TAG1" s="434"/>
      <c r="TAH1" s="434"/>
      <c r="TAI1" s="434"/>
      <c r="TAJ1" s="434"/>
      <c r="TAK1" s="434"/>
      <c r="TAL1" s="434"/>
      <c r="TAM1" s="434"/>
      <c r="TAN1" s="434"/>
      <c r="TAO1" s="434"/>
      <c r="TAP1" s="434"/>
      <c r="TAQ1" s="434"/>
      <c r="TAR1" s="434"/>
      <c r="TAS1" s="434"/>
      <c r="TAT1" s="434"/>
      <c r="TAU1" s="434"/>
      <c r="TAV1" s="434"/>
      <c r="TAW1" s="434"/>
      <c r="TAX1" s="434"/>
      <c r="TAY1" s="434"/>
      <c r="TAZ1" s="434"/>
      <c r="TBA1" s="434"/>
      <c r="TBB1" s="434"/>
      <c r="TBC1" s="434"/>
      <c r="TBD1" s="434"/>
      <c r="TBE1" s="434"/>
      <c r="TBF1" s="434"/>
      <c r="TBG1" s="434"/>
      <c r="TBH1" s="434"/>
      <c r="TBI1" s="434"/>
      <c r="TBJ1" s="434"/>
      <c r="TBK1" s="434"/>
      <c r="TBL1" s="434"/>
      <c r="TBM1" s="434"/>
      <c r="TBN1" s="434"/>
      <c r="TBO1" s="434"/>
      <c r="TBP1" s="434"/>
      <c r="TBQ1" s="434"/>
      <c r="TBR1" s="434"/>
      <c r="TBS1" s="434"/>
      <c r="TBT1" s="434"/>
      <c r="TBU1" s="434"/>
      <c r="TBV1" s="434"/>
      <c r="TBW1" s="434"/>
      <c r="TBX1" s="434"/>
      <c r="TBY1" s="434"/>
      <c r="TBZ1" s="434"/>
      <c r="TCA1" s="434"/>
      <c r="TCB1" s="434"/>
      <c r="TCC1" s="434"/>
      <c r="TCD1" s="434"/>
      <c r="TCE1" s="434"/>
      <c r="TCF1" s="434"/>
      <c r="TCG1" s="434"/>
      <c r="TCH1" s="434"/>
      <c r="TCI1" s="434"/>
      <c r="TCJ1" s="434"/>
      <c r="TCK1" s="434"/>
      <c r="TCL1" s="434"/>
      <c r="TCM1" s="434"/>
      <c r="TCN1" s="434"/>
      <c r="TCO1" s="434"/>
      <c r="TCP1" s="434"/>
      <c r="TCQ1" s="434"/>
      <c r="TCR1" s="434"/>
      <c r="TCS1" s="434"/>
      <c r="TCT1" s="434"/>
      <c r="TCU1" s="434"/>
      <c r="TCV1" s="434"/>
      <c r="TCW1" s="434"/>
      <c r="TCX1" s="434"/>
      <c r="TCY1" s="434"/>
      <c r="TCZ1" s="434"/>
      <c r="TDA1" s="434"/>
      <c r="TDB1" s="434"/>
      <c r="TDC1" s="434"/>
      <c r="TDD1" s="434"/>
      <c r="TDE1" s="434"/>
      <c r="TDF1" s="434"/>
      <c r="TDG1" s="434"/>
      <c r="TDH1" s="434"/>
      <c r="TDI1" s="434"/>
      <c r="TDJ1" s="434"/>
      <c r="TDK1" s="434"/>
      <c r="TDL1" s="434"/>
      <c r="TDM1" s="434"/>
      <c r="TDN1" s="434"/>
      <c r="TDO1" s="434"/>
      <c r="TDP1" s="434"/>
      <c r="TDQ1" s="434"/>
      <c r="TDR1" s="434"/>
      <c r="TDS1" s="434"/>
      <c r="TDT1" s="434"/>
      <c r="TDU1" s="434"/>
      <c r="TDV1" s="434"/>
      <c r="TDW1" s="434"/>
      <c r="TDX1" s="434"/>
      <c r="TDY1" s="434"/>
      <c r="TDZ1" s="434"/>
      <c r="TEA1" s="434"/>
      <c r="TEB1" s="434"/>
      <c r="TEC1" s="434"/>
      <c r="TED1" s="434"/>
      <c r="TEE1" s="434"/>
      <c r="TEF1" s="434"/>
      <c r="TEG1" s="434"/>
      <c r="TEH1" s="434"/>
      <c r="TEI1" s="434"/>
      <c r="TEJ1" s="434"/>
      <c r="TEK1" s="434"/>
      <c r="TEL1" s="434"/>
      <c r="TEM1" s="434"/>
      <c r="TEN1" s="434"/>
      <c r="TEO1" s="434"/>
      <c r="TEP1" s="434"/>
      <c r="TEQ1" s="434"/>
      <c r="TER1" s="434"/>
      <c r="TES1" s="434"/>
      <c r="TET1" s="434"/>
      <c r="TEU1" s="434"/>
      <c r="TEV1" s="434"/>
      <c r="TEW1" s="434"/>
      <c r="TEX1" s="434"/>
      <c r="TEY1" s="434"/>
      <c r="TEZ1" s="434"/>
      <c r="TFA1" s="434"/>
      <c r="TFB1" s="434"/>
      <c r="TFC1" s="434"/>
      <c r="TFD1" s="434"/>
      <c r="TFE1" s="434"/>
      <c r="TFF1" s="434"/>
      <c r="TFG1" s="434"/>
      <c r="TFH1" s="434"/>
      <c r="TFI1" s="434"/>
      <c r="TFJ1" s="434"/>
      <c r="TFK1" s="434"/>
      <c r="TFL1" s="434"/>
      <c r="TFM1" s="434"/>
      <c r="TFN1" s="434"/>
      <c r="TFO1" s="434"/>
      <c r="TFP1" s="434"/>
      <c r="TFQ1" s="434"/>
      <c r="TFR1" s="434"/>
      <c r="TFS1" s="434"/>
      <c r="TFT1" s="434"/>
      <c r="TFU1" s="434"/>
      <c r="TFV1" s="434"/>
      <c r="TFW1" s="434"/>
      <c r="TFX1" s="434"/>
      <c r="TFY1" s="434"/>
      <c r="TFZ1" s="434"/>
      <c r="TGA1" s="434"/>
      <c r="TGB1" s="434"/>
      <c r="TGC1" s="434"/>
      <c r="TGD1" s="434"/>
      <c r="TGE1" s="434"/>
      <c r="TGF1" s="434"/>
      <c r="TGG1" s="434"/>
      <c r="TGH1" s="434"/>
      <c r="TGI1" s="434"/>
      <c r="TGJ1" s="434"/>
      <c r="TGK1" s="434"/>
      <c r="TGL1" s="434"/>
      <c r="TGM1" s="434"/>
      <c r="TGN1" s="434"/>
      <c r="TGO1" s="434"/>
      <c r="TGP1" s="434"/>
      <c r="TGQ1" s="434"/>
      <c r="TGR1" s="434"/>
      <c r="TGS1" s="434"/>
      <c r="TGT1" s="434"/>
      <c r="TGU1" s="434"/>
      <c r="TGV1" s="434"/>
      <c r="TGW1" s="434"/>
      <c r="TGX1" s="434"/>
      <c r="TGY1" s="434"/>
      <c r="TGZ1" s="434"/>
      <c r="THA1" s="434"/>
      <c r="THB1" s="434"/>
      <c r="THC1" s="434"/>
      <c r="THD1" s="434"/>
      <c r="THE1" s="434"/>
      <c r="THF1" s="434"/>
      <c r="THG1" s="434"/>
      <c r="THH1" s="434"/>
      <c r="THI1" s="434"/>
      <c r="THJ1" s="434"/>
      <c r="THK1" s="434"/>
      <c r="THL1" s="434"/>
      <c r="THM1" s="434"/>
      <c r="THN1" s="434"/>
      <c r="THO1" s="434"/>
      <c r="THP1" s="434"/>
      <c r="THQ1" s="434"/>
      <c r="THR1" s="434"/>
      <c r="THS1" s="434"/>
      <c r="THT1" s="434"/>
      <c r="THU1" s="434"/>
      <c r="THV1" s="434"/>
      <c r="THW1" s="434"/>
      <c r="THX1" s="434"/>
      <c r="THY1" s="434"/>
      <c r="THZ1" s="434"/>
      <c r="TIA1" s="434"/>
      <c r="TIB1" s="434"/>
      <c r="TIC1" s="434"/>
      <c r="TID1" s="434"/>
      <c r="TIE1" s="434"/>
      <c r="TIF1" s="434"/>
      <c r="TIG1" s="434"/>
      <c r="TIH1" s="434"/>
      <c r="TII1" s="434"/>
      <c r="TIJ1" s="434"/>
      <c r="TIK1" s="434"/>
      <c r="TIL1" s="434"/>
      <c r="TIM1" s="434"/>
      <c r="TIN1" s="434"/>
      <c r="TIO1" s="434"/>
      <c r="TIP1" s="434"/>
      <c r="TIQ1" s="434"/>
      <c r="TIR1" s="434"/>
      <c r="TIS1" s="434"/>
      <c r="TIT1" s="434"/>
      <c r="TIU1" s="434"/>
      <c r="TIV1" s="434"/>
      <c r="TIW1" s="434"/>
      <c r="TIX1" s="434"/>
      <c r="TIY1" s="434"/>
      <c r="TIZ1" s="434"/>
      <c r="TJA1" s="434"/>
      <c r="TJB1" s="434"/>
      <c r="TJC1" s="434"/>
      <c r="TJD1" s="434"/>
      <c r="TJE1" s="434"/>
      <c r="TJF1" s="434"/>
      <c r="TJG1" s="434"/>
      <c r="TJH1" s="434"/>
      <c r="TJI1" s="434"/>
      <c r="TJJ1" s="434"/>
      <c r="TJK1" s="434"/>
      <c r="TJL1" s="434"/>
      <c r="TJM1" s="434"/>
      <c r="TJN1" s="434"/>
      <c r="TJO1" s="434"/>
      <c r="TJP1" s="434"/>
      <c r="TJQ1" s="434"/>
      <c r="TJR1" s="434"/>
      <c r="TJS1" s="434"/>
      <c r="TJT1" s="434"/>
      <c r="TJU1" s="434"/>
      <c r="TJV1" s="434"/>
      <c r="TJW1" s="434"/>
      <c r="TJX1" s="434"/>
      <c r="TJY1" s="434"/>
      <c r="TJZ1" s="434"/>
      <c r="TKA1" s="434"/>
      <c r="TKB1" s="434"/>
      <c r="TKC1" s="434"/>
      <c r="TKD1" s="434"/>
      <c r="TKE1" s="434"/>
      <c r="TKF1" s="434"/>
      <c r="TKG1" s="434"/>
      <c r="TKH1" s="434"/>
      <c r="TKI1" s="434"/>
      <c r="TKJ1" s="434"/>
      <c r="TKK1" s="434"/>
      <c r="TKL1" s="434"/>
      <c r="TKM1" s="434"/>
      <c r="TKN1" s="434"/>
      <c r="TKO1" s="434"/>
      <c r="TKP1" s="434"/>
      <c r="TKQ1" s="434"/>
      <c r="TKR1" s="434"/>
      <c r="TKS1" s="434"/>
      <c r="TKT1" s="434"/>
      <c r="TKU1" s="434"/>
      <c r="TKV1" s="434"/>
      <c r="TKW1" s="434"/>
      <c r="TKX1" s="434"/>
      <c r="TKY1" s="434"/>
      <c r="TKZ1" s="434"/>
      <c r="TLA1" s="434"/>
      <c r="TLB1" s="434"/>
      <c r="TLC1" s="434"/>
      <c r="TLD1" s="434"/>
      <c r="TLE1" s="434"/>
      <c r="TLF1" s="434"/>
      <c r="TLG1" s="434"/>
      <c r="TLH1" s="434"/>
      <c r="TLI1" s="434"/>
      <c r="TLJ1" s="434"/>
      <c r="TLK1" s="434"/>
      <c r="TLL1" s="434"/>
      <c r="TLM1" s="434"/>
      <c r="TLN1" s="434"/>
      <c r="TLO1" s="434"/>
      <c r="TLP1" s="434"/>
      <c r="TLQ1" s="434"/>
      <c r="TLR1" s="434"/>
      <c r="TLS1" s="434"/>
      <c r="TLT1" s="434"/>
      <c r="TLU1" s="434"/>
      <c r="TLV1" s="434"/>
      <c r="TLW1" s="434"/>
      <c r="TLX1" s="434"/>
      <c r="TLY1" s="434"/>
      <c r="TLZ1" s="434"/>
      <c r="TMA1" s="434"/>
      <c r="TMB1" s="434"/>
      <c r="TMC1" s="434"/>
      <c r="TMD1" s="434"/>
      <c r="TME1" s="434"/>
      <c r="TMF1" s="434"/>
      <c r="TMG1" s="434"/>
      <c r="TMH1" s="434"/>
      <c r="TMI1" s="434"/>
      <c r="TMJ1" s="434"/>
      <c r="TMK1" s="434"/>
      <c r="TML1" s="434"/>
      <c r="TMM1" s="434"/>
      <c r="TMN1" s="434"/>
      <c r="TMO1" s="434"/>
      <c r="TMP1" s="434"/>
      <c r="TMQ1" s="434"/>
      <c r="TMR1" s="434"/>
      <c r="TMS1" s="434"/>
      <c r="TMT1" s="434"/>
      <c r="TMU1" s="434"/>
      <c r="TMV1" s="434"/>
      <c r="TMW1" s="434"/>
      <c r="TMX1" s="434"/>
      <c r="TMY1" s="434"/>
      <c r="TMZ1" s="434"/>
      <c r="TNA1" s="434"/>
      <c r="TNB1" s="434"/>
      <c r="TNC1" s="434"/>
      <c r="TND1" s="434"/>
      <c r="TNE1" s="434"/>
      <c r="TNF1" s="434"/>
      <c r="TNG1" s="434"/>
      <c r="TNH1" s="434"/>
      <c r="TNI1" s="434"/>
      <c r="TNJ1" s="434"/>
      <c r="TNK1" s="434"/>
      <c r="TNL1" s="434"/>
      <c r="TNM1" s="434"/>
      <c r="TNN1" s="434"/>
      <c r="TNO1" s="434"/>
      <c r="TNP1" s="434"/>
      <c r="TNQ1" s="434"/>
      <c r="TNR1" s="434"/>
      <c r="TNS1" s="434"/>
      <c r="TNT1" s="434"/>
      <c r="TNU1" s="434"/>
      <c r="TNV1" s="434"/>
      <c r="TNW1" s="434"/>
      <c r="TNX1" s="434"/>
      <c r="TNY1" s="434"/>
      <c r="TNZ1" s="434"/>
      <c r="TOA1" s="434"/>
      <c r="TOB1" s="434"/>
      <c r="TOC1" s="434"/>
      <c r="TOD1" s="434"/>
      <c r="TOE1" s="434"/>
      <c r="TOF1" s="434"/>
      <c r="TOG1" s="434"/>
      <c r="TOH1" s="434"/>
      <c r="TOI1" s="434"/>
      <c r="TOJ1" s="434"/>
      <c r="TOK1" s="434"/>
      <c r="TOL1" s="434"/>
      <c r="TOM1" s="434"/>
      <c r="TON1" s="434"/>
      <c r="TOO1" s="434"/>
      <c r="TOP1" s="434"/>
      <c r="TOQ1" s="434"/>
      <c r="TOR1" s="434"/>
      <c r="TOS1" s="434"/>
      <c r="TOT1" s="434"/>
      <c r="TOU1" s="434"/>
      <c r="TOV1" s="434"/>
      <c r="TOW1" s="434"/>
      <c r="TOX1" s="434"/>
      <c r="TOY1" s="434"/>
      <c r="TOZ1" s="434"/>
      <c r="TPA1" s="434"/>
      <c r="TPB1" s="434"/>
      <c r="TPC1" s="434"/>
      <c r="TPD1" s="434"/>
      <c r="TPE1" s="434"/>
      <c r="TPF1" s="434"/>
      <c r="TPG1" s="434"/>
      <c r="TPH1" s="434"/>
      <c r="TPI1" s="434"/>
      <c r="TPJ1" s="434"/>
      <c r="TPK1" s="434"/>
      <c r="TPL1" s="434"/>
      <c r="TPM1" s="434"/>
      <c r="TPN1" s="434"/>
      <c r="TPO1" s="434"/>
      <c r="TPP1" s="434"/>
      <c r="TPQ1" s="434"/>
      <c r="TPR1" s="434"/>
      <c r="TPS1" s="434"/>
      <c r="TPT1" s="434"/>
      <c r="TPU1" s="434"/>
      <c r="TPV1" s="434"/>
      <c r="TPW1" s="434"/>
      <c r="TPX1" s="434"/>
      <c r="TPY1" s="434"/>
      <c r="TPZ1" s="434"/>
      <c r="TQA1" s="434"/>
      <c r="TQB1" s="434"/>
      <c r="TQC1" s="434"/>
      <c r="TQD1" s="434"/>
      <c r="TQE1" s="434"/>
      <c r="TQF1" s="434"/>
      <c r="TQG1" s="434"/>
      <c r="TQH1" s="434"/>
      <c r="TQI1" s="434"/>
      <c r="TQJ1" s="434"/>
      <c r="TQK1" s="434"/>
      <c r="TQL1" s="434"/>
      <c r="TQM1" s="434"/>
      <c r="TQN1" s="434"/>
      <c r="TQO1" s="434"/>
      <c r="TQP1" s="434"/>
      <c r="TQQ1" s="434"/>
      <c r="TQR1" s="434"/>
      <c r="TQS1" s="434"/>
      <c r="TQT1" s="434"/>
      <c r="TQU1" s="434"/>
      <c r="TQV1" s="434"/>
      <c r="TQW1" s="434"/>
      <c r="TQX1" s="434"/>
      <c r="TQY1" s="434"/>
      <c r="TQZ1" s="434"/>
      <c r="TRA1" s="434"/>
      <c r="TRB1" s="434"/>
      <c r="TRC1" s="434"/>
      <c r="TRD1" s="434"/>
      <c r="TRE1" s="434"/>
      <c r="TRF1" s="434"/>
      <c r="TRG1" s="434"/>
      <c r="TRH1" s="434"/>
      <c r="TRI1" s="434"/>
      <c r="TRJ1" s="434"/>
      <c r="TRK1" s="434"/>
      <c r="TRL1" s="434"/>
      <c r="TRM1" s="434"/>
      <c r="TRN1" s="434"/>
      <c r="TRO1" s="434"/>
      <c r="TRP1" s="434"/>
      <c r="TRQ1" s="434"/>
      <c r="TRR1" s="434"/>
      <c r="TRS1" s="434"/>
      <c r="TRT1" s="434"/>
      <c r="TRU1" s="434"/>
      <c r="TRV1" s="434"/>
      <c r="TRW1" s="434"/>
      <c r="TRX1" s="434"/>
      <c r="TRY1" s="434"/>
      <c r="TRZ1" s="434"/>
      <c r="TSA1" s="434"/>
      <c r="TSB1" s="434"/>
      <c r="TSC1" s="434"/>
      <c r="TSD1" s="434"/>
      <c r="TSE1" s="434"/>
      <c r="TSF1" s="434"/>
      <c r="TSG1" s="434"/>
      <c r="TSH1" s="434"/>
      <c r="TSI1" s="434"/>
      <c r="TSJ1" s="434"/>
      <c r="TSK1" s="434"/>
      <c r="TSL1" s="434"/>
      <c r="TSM1" s="434"/>
      <c r="TSN1" s="434"/>
      <c r="TSO1" s="434"/>
      <c r="TSP1" s="434"/>
      <c r="TSQ1" s="434"/>
      <c r="TSR1" s="434"/>
      <c r="TSS1" s="434"/>
      <c r="TST1" s="434"/>
      <c r="TSU1" s="434"/>
      <c r="TSV1" s="434"/>
      <c r="TSW1" s="434"/>
      <c r="TSX1" s="434"/>
      <c r="TSY1" s="434"/>
      <c r="TSZ1" s="434"/>
      <c r="TTA1" s="434"/>
      <c r="TTB1" s="434"/>
      <c r="TTC1" s="434"/>
      <c r="TTD1" s="434"/>
      <c r="TTE1" s="434"/>
      <c r="TTF1" s="434"/>
      <c r="TTG1" s="434"/>
      <c r="TTH1" s="434"/>
      <c r="TTI1" s="434"/>
      <c r="TTJ1" s="434"/>
      <c r="TTK1" s="434"/>
      <c r="TTL1" s="434"/>
      <c r="TTM1" s="434"/>
      <c r="TTN1" s="434"/>
      <c r="TTO1" s="434"/>
      <c r="TTP1" s="434"/>
      <c r="TTQ1" s="434"/>
      <c r="TTR1" s="434"/>
      <c r="TTS1" s="434"/>
      <c r="TTT1" s="434"/>
      <c r="TTU1" s="434"/>
      <c r="TTV1" s="434"/>
      <c r="TTW1" s="434"/>
      <c r="TTX1" s="434"/>
      <c r="TTY1" s="434"/>
      <c r="TTZ1" s="434"/>
      <c r="TUA1" s="434"/>
      <c r="TUB1" s="434"/>
      <c r="TUC1" s="434"/>
      <c r="TUD1" s="434"/>
      <c r="TUE1" s="434"/>
      <c r="TUF1" s="434"/>
      <c r="TUG1" s="434"/>
      <c r="TUH1" s="434"/>
      <c r="TUI1" s="434"/>
      <c r="TUJ1" s="434"/>
      <c r="TUK1" s="434"/>
      <c r="TUL1" s="434"/>
      <c r="TUM1" s="434"/>
      <c r="TUN1" s="434"/>
      <c r="TUO1" s="434"/>
      <c r="TUP1" s="434"/>
      <c r="TUQ1" s="434"/>
      <c r="TUR1" s="434"/>
      <c r="TUS1" s="434"/>
      <c r="TUT1" s="434"/>
      <c r="TUU1" s="434"/>
      <c r="TUV1" s="434"/>
      <c r="TUW1" s="434"/>
      <c r="TUX1" s="434"/>
      <c r="TUY1" s="434"/>
      <c r="TUZ1" s="434"/>
      <c r="TVA1" s="434"/>
      <c r="TVB1" s="434"/>
      <c r="TVC1" s="434"/>
      <c r="TVD1" s="434"/>
      <c r="TVE1" s="434"/>
      <c r="TVF1" s="434"/>
      <c r="TVG1" s="434"/>
      <c r="TVH1" s="434"/>
      <c r="TVI1" s="434"/>
      <c r="TVJ1" s="434"/>
      <c r="TVK1" s="434"/>
      <c r="TVL1" s="434"/>
      <c r="TVM1" s="434"/>
      <c r="TVN1" s="434"/>
      <c r="TVO1" s="434"/>
      <c r="TVP1" s="434"/>
      <c r="TVQ1" s="434"/>
      <c r="TVR1" s="434"/>
      <c r="TVS1" s="434"/>
      <c r="TVT1" s="434"/>
      <c r="TVU1" s="434"/>
      <c r="TVV1" s="434"/>
      <c r="TVW1" s="434"/>
      <c r="TVX1" s="434"/>
      <c r="TVY1" s="434"/>
      <c r="TVZ1" s="434"/>
      <c r="TWA1" s="434"/>
      <c r="TWB1" s="434"/>
      <c r="TWC1" s="434"/>
      <c r="TWD1" s="434"/>
      <c r="TWE1" s="434"/>
      <c r="TWF1" s="434"/>
      <c r="TWG1" s="434"/>
      <c r="TWH1" s="434"/>
      <c r="TWI1" s="434"/>
      <c r="TWJ1" s="434"/>
      <c r="TWK1" s="434"/>
      <c r="TWL1" s="434"/>
      <c r="TWM1" s="434"/>
      <c r="TWN1" s="434"/>
      <c r="TWO1" s="434"/>
      <c r="TWP1" s="434"/>
      <c r="TWQ1" s="434"/>
      <c r="TWR1" s="434"/>
      <c r="TWS1" s="434"/>
      <c r="TWT1" s="434"/>
      <c r="TWU1" s="434"/>
      <c r="TWV1" s="434"/>
      <c r="TWW1" s="434"/>
      <c r="TWX1" s="434"/>
      <c r="TWY1" s="434"/>
      <c r="TWZ1" s="434"/>
      <c r="TXA1" s="434"/>
      <c r="TXB1" s="434"/>
      <c r="TXC1" s="434"/>
      <c r="TXD1" s="434"/>
      <c r="TXE1" s="434"/>
      <c r="TXF1" s="434"/>
      <c r="TXG1" s="434"/>
      <c r="TXH1" s="434"/>
      <c r="TXI1" s="434"/>
      <c r="TXJ1" s="434"/>
      <c r="TXK1" s="434"/>
      <c r="TXL1" s="434"/>
      <c r="TXM1" s="434"/>
      <c r="TXN1" s="434"/>
      <c r="TXO1" s="434"/>
      <c r="TXP1" s="434"/>
      <c r="TXQ1" s="434"/>
      <c r="TXR1" s="434"/>
      <c r="TXS1" s="434"/>
      <c r="TXT1" s="434"/>
      <c r="TXU1" s="434"/>
      <c r="TXV1" s="434"/>
      <c r="TXW1" s="434"/>
      <c r="TXX1" s="434"/>
      <c r="TXY1" s="434"/>
      <c r="TXZ1" s="434"/>
      <c r="TYA1" s="434"/>
      <c r="TYB1" s="434"/>
      <c r="TYC1" s="434"/>
      <c r="TYD1" s="434"/>
      <c r="TYE1" s="434"/>
      <c r="TYF1" s="434"/>
      <c r="TYG1" s="434"/>
      <c r="TYH1" s="434"/>
      <c r="TYI1" s="434"/>
      <c r="TYJ1" s="434"/>
      <c r="TYK1" s="434"/>
      <c r="TYL1" s="434"/>
      <c r="TYM1" s="434"/>
      <c r="TYN1" s="434"/>
      <c r="TYO1" s="434"/>
      <c r="TYP1" s="434"/>
      <c r="TYQ1" s="434"/>
      <c r="TYR1" s="434"/>
      <c r="TYS1" s="434"/>
      <c r="TYT1" s="434"/>
      <c r="TYU1" s="434"/>
      <c r="TYV1" s="434"/>
      <c r="TYW1" s="434"/>
      <c r="TYX1" s="434"/>
      <c r="TYY1" s="434"/>
      <c r="TYZ1" s="434"/>
      <c r="TZA1" s="434"/>
      <c r="TZB1" s="434"/>
      <c r="TZC1" s="434"/>
      <c r="TZD1" s="434"/>
      <c r="TZE1" s="434"/>
      <c r="TZF1" s="434"/>
      <c r="TZG1" s="434"/>
      <c r="TZH1" s="434"/>
      <c r="TZI1" s="434"/>
      <c r="TZJ1" s="434"/>
      <c r="TZK1" s="434"/>
      <c r="TZL1" s="434"/>
      <c r="TZM1" s="434"/>
      <c r="TZN1" s="434"/>
      <c r="TZO1" s="434"/>
      <c r="TZP1" s="434"/>
      <c r="TZQ1" s="434"/>
      <c r="TZR1" s="434"/>
      <c r="TZS1" s="434"/>
      <c r="TZT1" s="434"/>
      <c r="TZU1" s="434"/>
      <c r="TZV1" s="434"/>
      <c r="TZW1" s="434"/>
      <c r="TZX1" s="434"/>
      <c r="TZY1" s="434"/>
      <c r="TZZ1" s="434"/>
      <c r="UAA1" s="434"/>
      <c r="UAB1" s="434"/>
      <c r="UAC1" s="434"/>
      <c r="UAD1" s="434"/>
      <c r="UAE1" s="434"/>
      <c r="UAF1" s="434"/>
      <c r="UAG1" s="434"/>
      <c r="UAH1" s="434"/>
      <c r="UAI1" s="434"/>
      <c r="UAJ1" s="434"/>
      <c r="UAK1" s="434"/>
      <c r="UAL1" s="434"/>
      <c r="UAM1" s="434"/>
      <c r="UAN1" s="434"/>
      <c r="UAO1" s="434"/>
      <c r="UAP1" s="434"/>
      <c r="UAQ1" s="434"/>
      <c r="UAR1" s="434"/>
      <c r="UAS1" s="434"/>
      <c r="UAT1" s="434"/>
      <c r="UAU1" s="434"/>
      <c r="UAV1" s="434"/>
      <c r="UAW1" s="434"/>
      <c r="UAX1" s="434"/>
      <c r="UAY1" s="434"/>
      <c r="UAZ1" s="434"/>
      <c r="UBA1" s="434"/>
      <c r="UBB1" s="434"/>
      <c r="UBC1" s="434"/>
      <c r="UBD1" s="434"/>
      <c r="UBE1" s="434"/>
      <c r="UBF1" s="434"/>
      <c r="UBG1" s="434"/>
      <c r="UBH1" s="434"/>
      <c r="UBI1" s="434"/>
      <c r="UBJ1" s="434"/>
      <c r="UBK1" s="434"/>
      <c r="UBL1" s="434"/>
      <c r="UBM1" s="434"/>
      <c r="UBN1" s="434"/>
      <c r="UBO1" s="434"/>
      <c r="UBP1" s="434"/>
      <c r="UBQ1" s="434"/>
      <c r="UBR1" s="434"/>
      <c r="UBS1" s="434"/>
      <c r="UBT1" s="434"/>
      <c r="UBU1" s="434"/>
      <c r="UBV1" s="434"/>
      <c r="UBW1" s="434"/>
      <c r="UBX1" s="434"/>
      <c r="UBY1" s="434"/>
      <c r="UBZ1" s="434"/>
      <c r="UCA1" s="434"/>
      <c r="UCB1" s="434"/>
      <c r="UCC1" s="434"/>
      <c r="UCD1" s="434"/>
      <c r="UCE1" s="434"/>
      <c r="UCF1" s="434"/>
      <c r="UCG1" s="434"/>
      <c r="UCH1" s="434"/>
      <c r="UCI1" s="434"/>
      <c r="UCJ1" s="434"/>
      <c r="UCK1" s="434"/>
      <c r="UCL1" s="434"/>
      <c r="UCM1" s="434"/>
      <c r="UCN1" s="434"/>
      <c r="UCO1" s="434"/>
      <c r="UCP1" s="434"/>
      <c r="UCQ1" s="434"/>
      <c r="UCR1" s="434"/>
      <c r="UCS1" s="434"/>
      <c r="UCT1" s="434"/>
      <c r="UCU1" s="434"/>
      <c r="UCV1" s="434"/>
      <c r="UCW1" s="434"/>
      <c r="UCX1" s="434"/>
      <c r="UCY1" s="434"/>
      <c r="UCZ1" s="434"/>
      <c r="UDA1" s="434"/>
      <c r="UDB1" s="434"/>
      <c r="UDC1" s="434"/>
      <c r="UDD1" s="434"/>
      <c r="UDE1" s="434"/>
      <c r="UDF1" s="434"/>
      <c r="UDG1" s="434"/>
      <c r="UDH1" s="434"/>
      <c r="UDI1" s="434"/>
      <c r="UDJ1" s="434"/>
      <c r="UDK1" s="434"/>
      <c r="UDL1" s="434"/>
      <c r="UDM1" s="434"/>
      <c r="UDN1" s="434"/>
      <c r="UDO1" s="434"/>
      <c r="UDP1" s="434"/>
      <c r="UDQ1" s="434"/>
      <c r="UDR1" s="434"/>
      <c r="UDS1" s="434"/>
      <c r="UDT1" s="434"/>
      <c r="UDU1" s="434"/>
      <c r="UDV1" s="434"/>
      <c r="UDW1" s="434"/>
      <c r="UDX1" s="434"/>
      <c r="UDY1" s="434"/>
      <c r="UDZ1" s="434"/>
      <c r="UEA1" s="434"/>
      <c r="UEB1" s="434"/>
      <c r="UEC1" s="434"/>
      <c r="UED1" s="434"/>
      <c r="UEE1" s="434"/>
      <c r="UEF1" s="434"/>
      <c r="UEG1" s="434"/>
      <c r="UEH1" s="434"/>
      <c r="UEI1" s="434"/>
      <c r="UEJ1" s="434"/>
      <c r="UEK1" s="434"/>
      <c r="UEL1" s="434"/>
      <c r="UEM1" s="434"/>
      <c r="UEN1" s="434"/>
      <c r="UEO1" s="434"/>
      <c r="UEP1" s="434"/>
      <c r="UEQ1" s="434"/>
      <c r="UER1" s="434"/>
      <c r="UES1" s="434"/>
      <c r="UET1" s="434"/>
      <c r="UEU1" s="434"/>
      <c r="UEV1" s="434"/>
      <c r="UEW1" s="434"/>
      <c r="UEX1" s="434"/>
      <c r="UEY1" s="434"/>
      <c r="UEZ1" s="434"/>
      <c r="UFA1" s="434"/>
      <c r="UFB1" s="434"/>
      <c r="UFC1" s="434"/>
      <c r="UFD1" s="434"/>
      <c r="UFE1" s="434"/>
      <c r="UFF1" s="434"/>
      <c r="UFG1" s="434"/>
      <c r="UFH1" s="434"/>
      <c r="UFI1" s="434"/>
      <c r="UFJ1" s="434"/>
      <c r="UFK1" s="434"/>
      <c r="UFL1" s="434"/>
      <c r="UFM1" s="434"/>
      <c r="UFN1" s="434"/>
      <c r="UFO1" s="434"/>
      <c r="UFP1" s="434"/>
      <c r="UFQ1" s="434"/>
      <c r="UFR1" s="434"/>
      <c r="UFS1" s="434"/>
      <c r="UFT1" s="434"/>
      <c r="UFU1" s="434"/>
      <c r="UFV1" s="434"/>
      <c r="UFW1" s="434"/>
      <c r="UFX1" s="434"/>
      <c r="UFY1" s="434"/>
      <c r="UFZ1" s="434"/>
      <c r="UGA1" s="434"/>
      <c r="UGB1" s="434"/>
      <c r="UGC1" s="434"/>
      <c r="UGD1" s="434"/>
      <c r="UGE1" s="434"/>
      <c r="UGF1" s="434"/>
      <c r="UGG1" s="434"/>
      <c r="UGH1" s="434"/>
      <c r="UGI1" s="434"/>
      <c r="UGJ1" s="434"/>
      <c r="UGK1" s="434"/>
      <c r="UGL1" s="434"/>
      <c r="UGM1" s="434"/>
      <c r="UGN1" s="434"/>
      <c r="UGO1" s="434"/>
      <c r="UGP1" s="434"/>
      <c r="UGQ1" s="434"/>
      <c r="UGR1" s="434"/>
      <c r="UGS1" s="434"/>
      <c r="UGT1" s="434"/>
      <c r="UGU1" s="434"/>
      <c r="UGV1" s="434"/>
      <c r="UGW1" s="434"/>
      <c r="UGX1" s="434"/>
      <c r="UGY1" s="434"/>
      <c r="UGZ1" s="434"/>
      <c r="UHA1" s="434"/>
      <c r="UHB1" s="434"/>
      <c r="UHC1" s="434"/>
      <c r="UHD1" s="434"/>
      <c r="UHE1" s="434"/>
      <c r="UHF1" s="434"/>
      <c r="UHG1" s="434"/>
      <c r="UHH1" s="434"/>
      <c r="UHI1" s="434"/>
      <c r="UHJ1" s="434"/>
      <c r="UHK1" s="434"/>
      <c r="UHL1" s="434"/>
      <c r="UHM1" s="434"/>
      <c r="UHN1" s="434"/>
      <c r="UHO1" s="434"/>
      <c r="UHP1" s="434"/>
      <c r="UHQ1" s="434"/>
      <c r="UHR1" s="434"/>
      <c r="UHS1" s="434"/>
      <c r="UHT1" s="434"/>
      <c r="UHU1" s="434"/>
      <c r="UHV1" s="434"/>
      <c r="UHW1" s="434"/>
      <c r="UHX1" s="434"/>
      <c r="UHY1" s="434"/>
      <c r="UHZ1" s="434"/>
      <c r="UIA1" s="434"/>
      <c r="UIB1" s="434"/>
      <c r="UIC1" s="434"/>
      <c r="UID1" s="434"/>
      <c r="UIE1" s="434"/>
      <c r="UIF1" s="434"/>
      <c r="UIG1" s="434"/>
      <c r="UIH1" s="434"/>
      <c r="UII1" s="434"/>
      <c r="UIJ1" s="434"/>
      <c r="UIK1" s="434"/>
      <c r="UIL1" s="434"/>
      <c r="UIM1" s="434"/>
      <c r="UIN1" s="434"/>
      <c r="UIO1" s="434"/>
      <c r="UIP1" s="434"/>
      <c r="UIQ1" s="434"/>
      <c r="UIR1" s="434"/>
      <c r="UIS1" s="434"/>
      <c r="UIT1" s="434"/>
      <c r="UIU1" s="434"/>
      <c r="UIV1" s="434"/>
      <c r="UIW1" s="434"/>
      <c r="UIX1" s="434"/>
      <c r="UIY1" s="434"/>
      <c r="UIZ1" s="434"/>
      <c r="UJA1" s="434"/>
      <c r="UJB1" s="434"/>
      <c r="UJC1" s="434"/>
      <c r="UJD1" s="434"/>
      <c r="UJE1" s="434"/>
      <c r="UJF1" s="434"/>
      <c r="UJG1" s="434"/>
      <c r="UJH1" s="434"/>
      <c r="UJI1" s="434"/>
      <c r="UJJ1" s="434"/>
      <c r="UJK1" s="434"/>
      <c r="UJL1" s="434"/>
      <c r="UJM1" s="434"/>
      <c r="UJN1" s="434"/>
      <c r="UJO1" s="434"/>
      <c r="UJP1" s="434"/>
      <c r="UJQ1" s="434"/>
      <c r="UJR1" s="434"/>
      <c r="UJS1" s="434"/>
      <c r="UJT1" s="434"/>
      <c r="UJU1" s="434"/>
      <c r="UJV1" s="434"/>
      <c r="UJW1" s="434"/>
      <c r="UJX1" s="434"/>
      <c r="UJY1" s="434"/>
      <c r="UJZ1" s="434"/>
      <c r="UKA1" s="434"/>
      <c r="UKB1" s="434"/>
      <c r="UKC1" s="434"/>
      <c r="UKD1" s="434"/>
      <c r="UKE1" s="434"/>
      <c r="UKF1" s="434"/>
      <c r="UKG1" s="434"/>
      <c r="UKH1" s="434"/>
      <c r="UKI1" s="434"/>
      <c r="UKJ1" s="434"/>
      <c r="UKK1" s="434"/>
      <c r="UKL1" s="434"/>
      <c r="UKM1" s="434"/>
      <c r="UKN1" s="434"/>
      <c r="UKO1" s="434"/>
      <c r="UKP1" s="434"/>
      <c r="UKQ1" s="434"/>
      <c r="UKR1" s="434"/>
      <c r="UKS1" s="434"/>
      <c r="UKT1" s="434"/>
      <c r="UKU1" s="434"/>
      <c r="UKV1" s="434"/>
      <c r="UKW1" s="434"/>
      <c r="UKX1" s="434"/>
      <c r="UKY1" s="434"/>
      <c r="UKZ1" s="434"/>
      <c r="ULA1" s="434"/>
      <c r="ULB1" s="434"/>
      <c r="ULC1" s="434"/>
      <c r="ULD1" s="434"/>
      <c r="ULE1" s="434"/>
      <c r="ULF1" s="434"/>
      <c r="ULG1" s="434"/>
      <c r="ULH1" s="434"/>
      <c r="ULI1" s="434"/>
      <c r="ULJ1" s="434"/>
      <c r="ULK1" s="434"/>
      <c r="ULL1" s="434"/>
      <c r="ULM1" s="434"/>
      <c r="ULN1" s="434"/>
      <c r="ULO1" s="434"/>
      <c r="ULP1" s="434"/>
      <c r="ULQ1" s="434"/>
      <c r="ULR1" s="434"/>
      <c r="ULS1" s="434"/>
      <c r="ULT1" s="434"/>
      <c r="ULU1" s="434"/>
      <c r="ULV1" s="434"/>
      <c r="ULW1" s="434"/>
      <c r="ULX1" s="434"/>
      <c r="ULY1" s="434"/>
      <c r="ULZ1" s="434"/>
      <c r="UMA1" s="434"/>
      <c r="UMB1" s="434"/>
      <c r="UMC1" s="434"/>
      <c r="UMD1" s="434"/>
      <c r="UME1" s="434"/>
      <c r="UMF1" s="434"/>
      <c r="UMG1" s="434"/>
      <c r="UMH1" s="434"/>
      <c r="UMI1" s="434"/>
      <c r="UMJ1" s="434"/>
      <c r="UMK1" s="434"/>
      <c r="UML1" s="434"/>
      <c r="UMM1" s="434"/>
      <c r="UMN1" s="434"/>
      <c r="UMO1" s="434"/>
      <c r="UMP1" s="434"/>
      <c r="UMQ1" s="434"/>
      <c r="UMR1" s="434"/>
      <c r="UMS1" s="434"/>
      <c r="UMT1" s="434"/>
      <c r="UMU1" s="434"/>
      <c r="UMV1" s="434"/>
      <c r="UMW1" s="434"/>
      <c r="UMX1" s="434"/>
      <c r="UMY1" s="434"/>
      <c r="UMZ1" s="434"/>
      <c r="UNA1" s="434"/>
      <c r="UNB1" s="434"/>
      <c r="UNC1" s="434"/>
      <c r="UND1" s="434"/>
      <c r="UNE1" s="434"/>
      <c r="UNF1" s="434"/>
      <c r="UNG1" s="434"/>
      <c r="UNH1" s="434"/>
      <c r="UNI1" s="434"/>
      <c r="UNJ1" s="434"/>
      <c r="UNK1" s="434"/>
      <c r="UNL1" s="434"/>
      <c r="UNM1" s="434"/>
      <c r="UNN1" s="434"/>
      <c r="UNO1" s="434"/>
      <c r="UNP1" s="434"/>
      <c r="UNQ1" s="434"/>
      <c r="UNR1" s="434"/>
      <c r="UNS1" s="434"/>
      <c r="UNT1" s="434"/>
      <c r="UNU1" s="434"/>
      <c r="UNV1" s="434"/>
      <c r="UNW1" s="434"/>
      <c r="UNX1" s="434"/>
      <c r="UNY1" s="434"/>
      <c r="UNZ1" s="434"/>
      <c r="UOA1" s="434"/>
      <c r="UOB1" s="434"/>
      <c r="UOC1" s="434"/>
      <c r="UOD1" s="434"/>
      <c r="UOE1" s="434"/>
      <c r="UOF1" s="434"/>
      <c r="UOG1" s="434"/>
      <c r="UOH1" s="434"/>
      <c r="UOI1" s="434"/>
      <c r="UOJ1" s="434"/>
      <c r="UOK1" s="434"/>
      <c r="UOL1" s="434"/>
      <c r="UOM1" s="434"/>
      <c r="UON1" s="434"/>
      <c r="UOO1" s="434"/>
      <c r="UOP1" s="434"/>
      <c r="UOQ1" s="434"/>
      <c r="UOR1" s="434"/>
      <c r="UOS1" s="434"/>
      <c r="UOT1" s="434"/>
      <c r="UOU1" s="434"/>
      <c r="UOV1" s="434"/>
      <c r="UOW1" s="434"/>
      <c r="UOX1" s="434"/>
      <c r="UOY1" s="434"/>
      <c r="UOZ1" s="434"/>
      <c r="UPA1" s="434"/>
      <c r="UPB1" s="434"/>
      <c r="UPC1" s="434"/>
      <c r="UPD1" s="434"/>
      <c r="UPE1" s="434"/>
      <c r="UPF1" s="434"/>
      <c r="UPG1" s="434"/>
      <c r="UPH1" s="434"/>
      <c r="UPI1" s="434"/>
      <c r="UPJ1" s="434"/>
      <c r="UPK1" s="434"/>
      <c r="UPL1" s="434"/>
      <c r="UPM1" s="434"/>
      <c r="UPN1" s="434"/>
      <c r="UPO1" s="434"/>
      <c r="UPP1" s="434"/>
      <c r="UPQ1" s="434"/>
      <c r="UPR1" s="434"/>
      <c r="UPS1" s="434"/>
      <c r="UPT1" s="434"/>
      <c r="UPU1" s="434"/>
      <c r="UPV1" s="434"/>
      <c r="UPW1" s="434"/>
      <c r="UPX1" s="434"/>
      <c r="UPY1" s="434"/>
      <c r="UPZ1" s="434"/>
      <c r="UQA1" s="434"/>
      <c r="UQB1" s="434"/>
      <c r="UQC1" s="434"/>
      <c r="UQD1" s="434"/>
      <c r="UQE1" s="434"/>
      <c r="UQF1" s="434"/>
      <c r="UQG1" s="434"/>
      <c r="UQH1" s="434"/>
      <c r="UQI1" s="434"/>
      <c r="UQJ1" s="434"/>
      <c r="UQK1" s="434"/>
      <c r="UQL1" s="434"/>
      <c r="UQM1" s="434"/>
      <c r="UQN1" s="434"/>
      <c r="UQO1" s="434"/>
      <c r="UQP1" s="434"/>
      <c r="UQQ1" s="434"/>
      <c r="UQR1" s="434"/>
      <c r="UQS1" s="434"/>
      <c r="UQT1" s="434"/>
      <c r="UQU1" s="434"/>
      <c r="UQV1" s="434"/>
      <c r="UQW1" s="434"/>
      <c r="UQX1" s="434"/>
      <c r="UQY1" s="434"/>
      <c r="UQZ1" s="434"/>
      <c r="URA1" s="434"/>
      <c r="URB1" s="434"/>
      <c r="URC1" s="434"/>
      <c r="URD1" s="434"/>
      <c r="URE1" s="434"/>
      <c r="URF1" s="434"/>
      <c r="URG1" s="434"/>
      <c r="URH1" s="434"/>
      <c r="URI1" s="434"/>
      <c r="URJ1" s="434"/>
      <c r="URK1" s="434"/>
      <c r="URL1" s="434"/>
      <c r="URM1" s="434"/>
      <c r="URN1" s="434"/>
      <c r="URO1" s="434"/>
      <c r="URP1" s="434"/>
      <c r="URQ1" s="434"/>
      <c r="URR1" s="434"/>
      <c r="URS1" s="434"/>
      <c r="URT1" s="434"/>
      <c r="URU1" s="434"/>
      <c r="URV1" s="434"/>
      <c r="URW1" s="434"/>
      <c r="URX1" s="434"/>
      <c r="URY1" s="434"/>
      <c r="URZ1" s="434"/>
      <c r="USA1" s="434"/>
      <c r="USB1" s="434"/>
      <c r="USC1" s="434"/>
      <c r="USD1" s="434"/>
      <c r="USE1" s="434"/>
      <c r="USF1" s="434"/>
      <c r="USG1" s="434"/>
      <c r="USH1" s="434"/>
      <c r="USI1" s="434"/>
      <c r="USJ1" s="434"/>
      <c r="USK1" s="434"/>
      <c r="USL1" s="434"/>
      <c r="USM1" s="434"/>
      <c r="USN1" s="434"/>
      <c r="USO1" s="434"/>
      <c r="USP1" s="434"/>
      <c r="USQ1" s="434"/>
      <c r="USR1" s="434"/>
      <c r="USS1" s="434"/>
      <c r="UST1" s="434"/>
      <c r="USU1" s="434"/>
      <c r="USV1" s="434"/>
      <c r="USW1" s="434"/>
      <c r="USX1" s="434"/>
      <c r="USY1" s="434"/>
      <c r="USZ1" s="434"/>
      <c r="UTA1" s="434"/>
      <c r="UTB1" s="434"/>
      <c r="UTC1" s="434"/>
      <c r="UTD1" s="434"/>
      <c r="UTE1" s="434"/>
      <c r="UTF1" s="434"/>
      <c r="UTG1" s="434"/>
      <c r="UTH1" s="434"/>
      <c r="UTI1" s="434"/>
      <c r="UTJ1" s="434"/>
      <c r="UTK1" s="434"/>
      <c r="UTL1" s="434"/>
      <c r="UTM1" s="434"/>
      <c r="UTN1" s="434"/>
      <c r="UTO1" s="434"/>
      <c r="UTP1" s="434"/>
      <c r="UTQ1" s="434"/>
      <c r="UTR1" s="434"/>
      <c r="UTS1" s="434"/>
      <c r="UTT1" s="434"/>
      <c r="UTU1" s="434"/>
      <c r="UTV1" s="434"/>
      <c r="UTW1" s="434"/>
      <c r="UTX1" s="434"/>
      <c r="UTY1" s="434"/>
      <c r="UTZ1" s="434"/>
      <c r="UUA1" s="434"/>
      <c r="UUB1" s="434"/>
      <c r="UUC1" s="434"/>
      <c r="UUD1" s="434"/>
      <c r="UUE1" s="434"/>
      <c r="UUF1" s="434"/>
      <c r="UUG1" s="434"/>
      <c r="UUH1" s="434"/>
      <c r="UUI1" s="434"/>
      <c r="UUJ1" s="434"/>
      <c r="UUK1" s="434"/>
      <c r="UUL1" s="434"/>
      <c r="UUM1" s="434"/>
      <c r="UUN1" s="434"/>
      <c r="UUO1" s="434"/>
      <c r="UUP1" s="434"/>
      <c r="UUQ1" s="434"/>
      <c r="UUR1" s="434"/>
      <c r="UUS1" s="434"/>
      <c r="UUT1" s="434"/>
      <c r="UUU1" s="434"/>
      <c r="UUV1" s="434"/>
      <c r="UUW1" s="434"/>
      <c r="UUX1" s="434"/>
      <c r="UUY1" s="434"/>
      <c r="UUZ1" s="434"/>
      <c r="UVA1" s="434"/>
      <c r="UVB1" s="434"/>
      <c r="UVC1" s="434"/>
      <c r="UVD1" s="434"/>
      <c r="UVE1" s="434"/>
      <c r="UVF1" s="434"/>
      <c r="UVG1" s="434"/>
      <c r="UVH1" s="434"/>
      <c r="UVI1" s="434"/>
      <c r="UVJ1" s="434"/>
      <c r="UVK1" s="434"/>
      <c r="UVL1" s="434"/>
      <c r="UVM1" s="434"/>
      <c r="UVN1" s="434"/>
      <c r="UVO1" s="434"/>
      <c r="UVP1" s="434"/>
      <c r="UVQ1" s="434"/>
      <c r="UVR1" s="434"/>
      <c r="UVS1" s="434"/>
      <c r="UVT1" s="434"/>
      <c r="UVU1" s="434"/>
      <c r="UVV1" s="434"/>
      <c r="UVW1" s="434"/>
      <c r="UVX1" s="434"/>
      <c r="UVY1" s="434"/>
      <c r="UVZ1" s="434"/>
      <c r="UWA1" s="434"/>
      <c r="UWB1" s="434"/>
      <c r="UWC1" s="434"/>
      <c r="UWD1" s="434"/>
      <c r="UWE1" s="434"/>
      <c r="UWF1" s="434"/>
      <c r="UWG1" s="434"/>
      <c r="UWH1" s="434"/>
      <c r="UWI1" s="434"/>
      <c r="UWJ1" s="434"/>
      <c r="UWK1" s="434"/>
      <c r="UWL1" s="434"/>
      <c r="UWM1" s="434"/>
      <c r="UWN1" s="434"/>
      <c r="UWO1" s="434"/>
      <c r="UWP1" s="434"/>
      <c r="UWQ1" s="434"/>
      <c r="UWR1" s="434"/>
      <c r="UWS1" s="434"/>
      <c r="UWT1" s="434"/>
      <c r="UWU1" s="434"/>
      <c r="UWV1" s="434"/>
      <c r="UWW1" s="434"/>
      <c r="UWX1" s="434"/>
      <c r="UWY1" s="434"/>
      <c r="UWZ1" s="434"/>
      <c r="UXA1" s="434"/>
      <c r="UXB1" s="434"/>
      <c r="UXC1" s="434"/>
      <c r="UXD1" s="434"/>
      <c r="UXE1" s="434"/>
      <c r="UXF1" s="434"/>
      <c r="UXG1" s="434"/>
      <c r="UXH1" s="434"/>
      <c r="UXI1" s="434"/>
      <c r="UXJ1" s="434"/>
      <c r="UXK1" s="434"/>
      <c r="UXL1" s="434"/>
      <c r="UXM1" s="434"/>
      <c r="UXN1" s="434"/>
      <c r="UXO1" s="434"/>
      <c r="UXP1" s="434"/>
      <c r="UXQ1" s="434"/>
      <c r="UXR1" s="434"/>
      <c r="UXS1" s="434"/>
      <c r="UXT1" s="434"/>
      <c r="UXU1" s="434"/>
      <c r="UXV1" s="434"/>
      <c r="UXW1" s="434"/>
      <c r="UXX1" s="434"/>
      <c r="UXY1" s="434"/>
      <c r="UXZ1" s="434"/>
      <c r="UYA1" s="434"/>
      <c r="UYB1" s="434"/>
      <c r="UYC1" s="434"/>
      <c r="UYD1" s="434"/>
      <c r="UYE1" s="434"/>
      <c r="UYF1" s="434"/>
      <c r="UYG1" s="434"/>
      <c r="UYH1" s="434"/>
      <c r="UYI1" s="434"/>
      <c r="UYJ1" s="434"/>
      <c r="UYK1" s="434"/>
      <c r="UYL1" s="434"/>
      <c r="UYM1" s="434"/>
      <c r="UYN1" s="434"/>
      <c r="UYO1" s="434"/>
      <c r="UYP1" s="434"/>
      <c r="UYQ1" s="434"/>
      <c r="UYR1" s="434"/>
      <c r="UYS1" s="434"/>
      <c r="UYT1" s="434"/>
      <c r="UYU1" s="434"/>
      <c r="UYV1" s="434"/>
      <c r="UYW1" s="434"/>
      <c r="UYX1" s="434"/>
      <c r="UYY1" s="434"/>
      <c r="UYZ1" s="434"/>
      <c r="UZA1" s="434"/>
      <c r="UZB1" s="434"/>
      <c r="UZC1" s="434"/>
      <c r="UZD1" s="434"/>
      <c r="UZE1" s="434"/>
      <c r="UZF1" s="434"/>
      <c r="UZG1" s="434"/>
      <c r="UZH1" s="434"/>
      <c r="UZI1" s="434"/>
      <c r="UZJ1" s="434"/>
      <c r="UZK1" s="434"/>
      <c r="UZL1" s="434"/>
      <c r="UZM1" s="434"/>
      <c r="UZN1" s="434"/>
      <c r="UZO1" s="434"/>
      <c r="UZP1" s="434"/>
      <c r="UZQ1" s="434"/>
      <c r="UZR1" s="434"/>
      <c r="UZS1" s="434"/>
      <c r="UZT1" s="434"/>
      <c r="UZU1" s="434"/>
      <c r="UZV1" s="434"/>
      <c r="UZW1" s="434"/>
      <c r="UZX1" s="434"/>
      <c r="UZY1" s="434"/>
      <c r="UZZ1" s="434"/>
      <c r="VAA1" s="434"/>
      <c r="VAB1" s="434"/>
      <c r="VAC1" s="434"/>
      <c r="VAD1" s="434"/>
      <c r="VAE1" s="434"/>
      <c r="VAF1" s="434"/>
      <c r="VAG1" s="434"/>
      <c r="VAH1" s="434"/>
      <c r="VAI1" s="434"/>
      <c r="VAJ1" s="434"/>
      <c r="VAK1" s="434"/>
      <c r="VAL1" s="434"/>
      <c r="VAM1" s="434"/>
      <c r="VAN1" s="434"/>
      <c r="VAO1" s="434"/>
      <c r="VAP1" s="434"/>
      <c r="VAQ1" s="434"/>
      <c r="VAR1" s="434"/>
      <c r="VAS1" s="434"/>
      <c r="VAT1" s="434"/>
      <c r="VAU1" s="434"/>
      <c r="VAV1" s="434"/>
      <c r="VAW1" s="434"/>
      <c r="VAX1" s="434"/>
      <c r="VAY1" s="434"/>
      <c r="VAZ1" s="434"/>
      <c r="VBA1" s="434"/>
      <c r="VBB1" s="434"/>
      <c r="VBC1" s="434"/>
      <c r="VBD1" s="434"/>
      <c r="VBE1" s="434"/>
      <c r="VBF1" s="434"/>
      <c r="VBG1" s="434"/>
      <c r="VBH1" s="434"/>
      <c r="VBI1" s="434"/>
      <c r="VBJ1" s="434"/>
      <c r="VBK1" s="434"/>
      <c r="VBL1" s="434"/>
      <c r="VBM1" s="434"/>
      <c r="VBN1" s="434"/>
      <c r="VBO1" s="434"/>
      <c r="VBP1" s="434"/>
      <c r="VBQ1" s="434"/>
      <c r="VBR1" s="434"/>
      <c r="VBS1" s="434"/>
      <c r="VBT1" s="434"/>
      <c r="VBU1" s="434"/>
      <c r="VBV1" s="434"/>
      <c r="VBW1" s="434"/>
      <c r="VBX1" s="434"/>
      <c r="VBY1" s="434"/>
      <c r="VBZ1" s="434"/>
      <c r="VCA1" s="434"/>
      <c r="VCB1" s="434"/>
      <c r="VCC1" s="434"/>
      <c r="VCD1" s="434"/>
      <c r="VCE1" s="434"/>
      <c r="VCF1" s="434"/>
      <c r="VCG1" s="434"/>
      <c r="VCH1" s="434"/>
      <c r="VCI1" s="434"/>
      <c r="VCJ1" s="434"/>
      <c r="VCK1" s="434"/>
      <c r="VCL1" s="434"/>
      <c r="VCM1" s="434"/>
      <c r="VCN1" s="434"/>
      <c r="VCO1" s="434"/>
      <c r="VCP1" s="434"/>
      <c r="VCQ1" s="434"/>
      <c r="VCR1" s="434"/>
      <c r="VCS1" s="434"/>
      <c r="VCT1" s="434"/>
      <c r="VCU1" s="434"/>
      <c r="VCV1" s="434"/>
      <c r="VCW1" s="434"/>
      <c r="VCX1" s="434"/>
      <c r="VCY1" s="434"/>
      <c r="VCZ1" s="434"/>
      <c r="VDA1" s="434"/>
      <c r="VDB1" s="434"/>
      <c r="VDC1" s="434"/>
      <c r="VDD1" s="434"/>
      <c r="VDE1" s="434"/>
      <c r="VDF1" s="434"/>
      <c r="VDG1" s="434"/>
      <c r="VDH1" s="434"/>
      <c r="VDI1" s="434"/>
      <c r="VDJ1" s="434"/>
      <c r="VDK1" s="434"/>
      <c r="VDL1" s="434"/>
      <c r="VDM1" s="434"/>
      <c r="VDN1" s="434"/>
      <c r="VDO1" s="434"/>
      <c r="VDP1" s="434"/>
      <c r="VDQ1" s="434"/>
      <c r="VDR1" s="434"/>
      <c r="VDS1" s="434"/>
      <c r="VDT1" s="434"/>
      <c r="VDU1" s="434"/>
      <c r="VDV1" s="434"/>
      <c r="VDW1" s="434"/>
      <c r="VDX1" s="434"/>
      <c r="VDY1" s="434"/>
      <c r="VDZ1" s="434"/>
      <c r="VEA1" s="434"/>
      <c r="VEB1" s="434"/>
      <c r="VEC1" s="434"/>
      <c r="VED1" s="434"/>
      <c r="VEE1" s="434"/>
      <c r="VEF1" s="434"/>
      <c r="VEG1" s="434"/>
      <c r="VEH1" s="434"/>
      <c r="VEI1" s="434"/>
      <c r="VEJ1" s="434"/>
      <c r="VEK1" s="434"/>
      <c r="VEL1" s="434"/>
      <c r="VEM1" s="434"/>
      <c r="VEN1" s="434"/>
      <c r="VEO1" s="434"/>
      <c r="VEP1" s="434"/>
      <c r="VEQ1" s="434"/>
      <c r="VER1" s="434"/>
      <c r="VES1" s="434"/>
      <c r="VET1" s="434"/>
      <c r="VEU1" s="434"/>
      <c r="VEV1" s="434"/>
      <c r="VEW1" s="434"/>
      <c r="VEX1" s="434"/>
      <c r="VEY1" s="434"/>
      <c r="VEZ1" s="434"/>
      <c r="VFA1" s="434"/>
      <c r="VFB1" s="434"/>
      <c r="VFC1" s="434"/>
      <c r="VFD1" s="434"/>
      <c r="VFE1" s="434"/>
      <c r="VFF1" s="434"/>
      <c r="VFG1" s="434"/>
      <c r="VFH1" s="434"/>
      <c r="VFI1" s="434"/>
      <c r="VFJ1" s="434"/>
      <c r="VFK1" s="434"/>
      <c r="VFL1" s="434"/>
      <c r="VFM1" s="434"/>
      <c r="VFN1" s="434"/>
      <c r="VFO1" s="434"/>
      <c r="VFP1" s="434"/>
      <c r="VFQ1" s="434"/>
      <c r="VFR1" s="434"/>
      <c r="VFS1" s="434"/>
      <c r="VFT1" s="434"/>
      <c r="VFU1" s="434"/>
      <c r="VFV1" s="434"/>
      <c r="VFW1" s="434"/>
      <c r="VFX1" s="434"/>
      <c r="VFY1" s="434"/>
      <c r="VFZ1" s="434"/>
      <c r="VGA1" s="434"/>
      <c r="VGB1" s="434"/>
      <c r="VGC1" s="434"/>
      <c r="VGD1" s="434"/>
      <c r="VGE1" s="434"/>
      <c r="VGF1" s="434"/>
      <c r="VGG1" s="434"/>
      <c r="VGH1" s="434"/>
      <c r="VGI1" s="434"/>
      <c r="VGJ1" s="434"/>
      <c r="VGK1" s="434"/>
      <c r="VGL1" s="434"/>
      <c r="VGM1" s="434"/>
      <c r="VGN1" s="434"/>
      <c r="VGO1" s="434"/>
      <c r="VGP1" s="434"/>
      <c r="VGQ1" s="434"/>
      <c r="VGR1" s="434"/>
      <c r="VGS1" s="434"/>
      <c r="VGT1" s="434"/>
      <c r="VGU1" s="434"/>
      <c r="VGV1" s="434"/>
      <c r="VGW1" s="434"/>
      <c r="VGX1" s="434"/>
      <c r="VGY1" s="434"/>
      <c r="VGZ1" s="434"/>
      <c r="VHA1" s="434"/>
      <c r="VHB1" s="434"/>
      <c r="VHC1" s="434"/>
      <c r="VHD1" s="434"/>
      <c r="VHE1" s="434"/>
      <c r="VHF1" s="434"/>
      <c r="VHG1" s="434"/>
      <c r="VHH1" s="434"/>
      <c r="VHI1" s="434"/>
      <c r="VHJ1" s="434"/>
      <c r="VHK1" s="434"/>
      <c r="VHL1" s="434"/>
      <c r="VHM1" s="434"/>
      <c r="VHN1" s="434"/>
      <c r="VHO1" s="434"/>
      <c r="VHP1" s="434"/>
      <c r="VHQ1" s="434"/>
      <c r="VHR1" s="434"/>
      <c r="VHS1" s="434"/>
      <c r="VHT1" s="434"/>
      <c r="VHU1" s="434"/>
      <c r="VHV1" s="434"/>
      <c r="VHW1" s="434"/>
      <c r="VHX1" s="434"/>
      <c r="VHY1" s="434"/>
      <c r="VHZ1" s="434"/>
      <c r="VIA1" s="434"/>
      <c r="VIB1" s="434"/>
      <c r="VIC1" s="434"/>
      <c r="VID1" s="434"/>
      <c r="VIE1" s="434"/>
      <c r="VIF1" s="434"/>
      <c r="VIG1" s="434"/>
      <c r="VIH1" s="434"/>
      <c r="VII1" s="434"/>
      <c r="VIJ1" s="434"/>
      <c r="VIK1" s="434"/>
      <c r="VIL1" s="434"/>
      <c r="VIM1" s="434"/>
      <c r="VIN1" s="434"/>
      <c r="VIO1" s="434"/>
      <c r="VIP1" s="434"/>
      <c r="VIQ1" s="434"/>
      <c r="VIR1" s="434"/>
      <c r="VIS1" s="434"/>
      <c r="VIT1" s="434"/>
      <c r="VIU1" s="434"/>
      <c r="VIV1" s="434"/>
      <c r="VIW1" s="434"/>
      <c r="VIX1" s="434"/>
      <c r="VIY1" s="434"/>
      <c r="VIZ1" s="434"/>
      <c r="VJA1" s="434"/>
      <c r="VJB1" s="434"/>
      <c r="VJC1" s="434"/>
      <c r="VJD1" s="434"/>
      <c r="VJE1" s="434"/>
      <c r="VJF1" s="434"/>
      <c r="VJG1" s="434"/>
      <c r="VJH1" s="434"/>
      <c r="VJI1" s="434"/>
      <c r="VJJ1" s="434"/>
      <c r="VJK1" s="434"/>
      <c r="VJL1" s="434"/>
      <c r="VJM1" s="434"/>
      <c r="VJN1" s="434"/>
      <c r="VJO1" s="434"/>
      <c r="VJP1" s="434"/>
      <c r="VJQ1" s="434"/>
      <c r="VJR1" s="434"/>
      <c r="VJS1" s="434"/>
      <c r="VJT1" s="434"/>
      <c r="VJU1" s="434"/>
      <c r="VJV1" s="434"/>
      <c r="VJW1" s="434"/>
      <c r="VJX1" s="434"/>
      <c r="VJY1" s="434"/>
      <c r="VJZ1" s="434"/>
      <c r="VKA1" s="434"/>
      <c r="VKB1" s="434"/>
      <c r="VKC1" s="434"/>
      <c r="VKD1" s="434"/>
      <c r="VKE1" s="434"/>
      <c r="VKF1" s="434"/>
      <c r="VKG1" s="434"/>
      <c r="VKH1" s="434"/>
      <c r="VKI1" s="434"/>
      <c r="VKJ1" s="434"/>
      <c r="VKK1" s="434"/>
      <c r="VKL1" s="434"/>
      <c r="VKM1" s="434"/>
      <c r="VKN1" s="434"/>
      <c r="VKO1" s="434"/>
      <c r="VKP1" s="434"/>
      <c r="VKQ1" s="434"/>
      <c r="VKR1" s="434"/>
      <c r="VKS1" s="434"/>
      <c r="VKT1" s="434"/>
      <c r="VKU1" s="434"/>
      <c r="VKV1" s="434"/>
      <c r="VKW1" s="434"/>
      <c r="VKX1" s="434"/>
      <c r="VKY1" s="434"/>
      <c r="VKZ1" s="434"/>
      <c r="VLA1" s="434"/>
      <c r="VLB1" s="434"/>
      <c r="VLC1" s="434"/>
      <c r="VLD1" s="434"/>
      <c r="VLE1" s="434"/>
      <c r="VLF1" s="434"/>
      <c r="VLG1" s="434"/>
      <c r="VLH1" s="434"/>
      <c r="VLI1" s="434"/>
      <c r="VLJ1" s="434"/>
      <c r="VLK1" s="434"/>
      <c r="VLL1" s="434"/>
      <c r="VLM1" s="434"/>
      <c r="VLN1" s="434"/>
      <c r="VLO1" s="434"/>
      <c r="VLP1" s="434"/>
      <c r="VLQ1" s="434"/>
      <c r="VLR1" s="434"/>
      <c r="VLS1" s="434"/>
      <c r="VLT1" s="434"/>
      <c r="VLU1" s="434"/>
      <c r="VLV1" s="434"/>
      <c r="VLW1" s="434"/>
      <c r="VLX1" s="434"/>
      <c r="VLY1" s="434"/>
      <c r="VLZ1" s="434"/>
      <c r="VMA1" s="434"/>
      <c r="VMB1" s="434"/>
      <c r="VMC1" s="434"/>
      <c r="VMD1" s="434"/>
      <c r="VME1" s="434"/>
      <c r="VMF1" s="434"/>
      <c r="VMG1" s="434"/>
      <c r="VMH1" s="434"/>
      <c r="VMI1" s="434"/>
      <c r="VMJ1" s="434"/>
      <c r="VMK1" s="434"/>
      <c r="VML1" s="434"/>
      <c r="VMM1" s="434"/>
      <c r="VMN1" s="434"/>
      <c r="VMO1" s="434"/>
      <c r="VMP1" s="434"/>
      <c r="VMQ1" s="434"/>
      <c r="VMR1" s="434"/>
      <c r="VMS1" s="434"/>
      <c r="VMT1" s="434"/>
      <c r="VMU1" s="434"/>
      <c r="VMV1" s="434"/>
      <c r="VMW1" s="434"/>
      <c r="VMX1" s="434"/>
      <c r="VMY1" s="434"/>
      <c r="VMZ1" s="434"/>
      <c r="VNA1" s="434"/>
      <c r="VNB1" s="434"/>
      <c r="VNC1" s="434"/>
      <c r="VND1" s="434"/>
      <c r="VNE1" s="434"/>
      <c r="VNF1" s="434"/>
      <c r="VNG1" s="434"/>
      <c r="VNH1" s="434"/>
      <c r="VNI1" s="434"/>
      <c r="VNJ1" s="434"/>
      <c r="VNK1" s="434"/>
      <c r="VNL1" s="434"/>
      <c r="VNM1" s="434"/>
      <c r="VNN1" s="434"/>
      <c r="VNO1" s="434"/>
      <c r="VNP1" s="434"/>
      <c r="VNQ1" s="434"/>
      <c r="VNR1" s="434"/>
      <c r="VNS1" s="434"/>
      <c r="VNT1" s="434"/>
      <c r="VNU1" s="434"/>
      <c r="VNV1" s="434"/>
      <c r="VNW1" s="434"/>
      <c r="VNX1" s="434"/>
      <c r="VNY1" s="434"/>
      <c r="VNZ1" s="434"/>
      <c r="VOA1" s="434"/>
      <c r="VOB1" s="434"/>
      <c r="VOC1" s="434"/>
      <c r="VOD1" s="434"/>
      <c r="VOE1" s="434"/>
      <c r="VOF1" s="434"/>
      <c r="VOG1" s="434"/>
      <c r="VOH1" s="434"/>
      <c r="VOI1" s="434"/>
      <c r="VOJ1" s="434"/>
      <c r="VOK1" s="434"/>
      <c r="VOL1" s="434"/>
      <c r="VOM1" s="434"/>
      <c r="VON1" s="434"/>
      <c r="VOO1" s="434"/>
      <c r="VOP1" s="434"/>
      <c r="VOQ1" s="434"/>
      <c r="VOR1" s="434"/>
      <c r="VOS1" s="434"/>
      <c r="VOT1" s="434"/>
      <c r="VOU1" s="434"/>
      <c r="VOV1" s="434"/>
      <c r="VOW1" s="434"/>
      <c r="VOX1" s="434"/>
      <c r="VOY1" s="434"/>
      <c r="VOZ1" s="434"/>
      <c r="VPA1" s="434"/>
      <c r="VPB1" s="434"/>
      <c r="VPC1" s="434"/>
      <c r="VPD1" s="434"/>
      <c r="VPE1" s="434"/>
      <c r="VPF1" s="434"/>
      <c r="VPG1" s="434"/>
      <c r="VPH1" s="434"/>
      <c r="VPI1" s="434"/>
      <c r="VPJ1" s="434"/>
      <c r="VPK1" s="434"/>
      <c r="VPL1" s="434"/>
      <c r="VPM1" s="434"/>
      <c r="VPN1" s="434"/>
      <c r="VPO1" s="434"/>
      <c r="VPP1" s="434"/>
      <c r="VPQ1" s="434"/>
      <c r="VPR1" s="434"/>
      <c r="VPS1" s="434"/>
      <c r="VPT1" s="434"/>
      <c r="VPU1" s="434"/>
      <c r="VPV1" s="434"/>
      <c r="VPW1" s="434"/>
      <c r="VPX1" s="434"/>
      <c r="VPY1" s="434"/>
      <c r="VPZ1" s="434"/>
      <c r="VQA1" s="434"/>
      <c r="VQB1" s="434"/>
      <c r="VQC1" s="434"/>
      <c r="VQD1" s="434"/>
      <c r="VQE1" s="434"/>
      <c r="VQF1" s="434"/>
      <c r="VQG1" s="434"/>
      <c r="VQH1" s="434"/>
      <c r="VQI1" s="434"/>
      <c r="VQJ1" s="434"/>
      <c r="VQK1" s="434"/>
      <c r="VQL1" s="434"/>
      <c r="VQM1" s="434"/>
      <c r="VQN1" s="434"/>
      <c r="VQO1" s="434"/>
      <c r="VQP1" s="434"/>
      <c r="VQQ1" s="434"/>
      <c r="VQR1" s="434"/>
      <c r="VQS1" s="434"/>
      <c r="VQT1" s="434"/>
      <c r="VQU1" s="434"/>
      <c r="VQV1" s="434"/>
      <c r="VQW1" s="434"/>
      <c r="VQX1" s="434"/>
      <c r="VQY1" s="434"/>
      <c r="VQZ1" s="434"/>
      <c r="VRA1" s="434"/>
      <c r="VRB1" s="434"/>
      <c r="VRC1" s="434"/>
      <c r="VRD1" s="434"/>
      <c r="VRE1" s="434"/>
      <c r="VRF1" s="434"/>
      <c r="VRG1" s="434"/>
      <c r="VRH1" s="434"/>
      <c r="VRI1" s="434"/>
      <c r="VRJ1" s="434"/>
      <c r="VRK1" s="434"/>
      <c r="VRL1" s="434"/>
      <c r="VRM1" s="434"/>
      <c r="VRN1" s="434"/>
      <c r="VRO1" s="434"/>
      <c r="VRP1" s="434"/>
      <c r="VRQ1" s="434"/>
      <c r="VRR1" s="434"/>
      <c r="VRS1" s="434"/>
      <c r="VRT1" s="434"/>
      <c r="VRU1" s="434"/>
      <c r="VRV1" s="434"/>
      <c r="VRW1" s="434"/>
      <c r="VRX1" s="434"/>
      <c r="VRY1" s="434"/>
      <c r="VRZ1" s="434"/>
      <c r="VSA1" s="434"/>
      <c r="VSB1" s="434"/>
      <c r="VSC1" s="434"/>
      <c r="VSD1" s="434"/>
      <c r="VSE1" s="434"/>
      <c r="VSF1" s="434"/>
      <c r="VSG1" s="434"/>
      <c r="VSH1" s="434"/>
      <c r="VSI1" s="434"/>
      <c r="VSJ1" s="434"/>
      <c r="VSK1" s="434"/>
      <c r="VSL1" s="434"/>
      <c r="VSM1" s="434"/>
      <c r="VSN1" s="434"/>
      <c r="VSO1" s="434"/>
      <c r="VSP1" s="434"/>
      <c r="VSQ1" s="434"/>
      <c r="VSR1" s="434"/>
      <c r="VSS1" s="434"/>
      <c r="VST1" s="434"/>
      <c r="VSU1" s="434"/>
      <c r="VSV1" s="434"/>
      <c r="VSW1" s="434"/>
      <c r="VSX1" s="434"/>
      <c r="VSY1" s="434"/>
      <c r="VSZ1" s="434"/>
      <c r="VTA1" s="434"/>
      <c r="VTB1" s="434"/>
      <c r="VTC1" s="434"/>
      <c r="VTD1" s="434"/>
      <c r="VTE1" s="434"/>
      <c r="VTF1" s="434"/>
      <c r="VTG1" s="434"/>
      <c r="VTH1" s="434"/>
      <c r="VTI1" s="434"/>
      <c r="VTJ1" s="434"/>
      <c r="VTK1" s="434"/>
      <c r="VTL1" s="434"/>
      <c r="VTM1" s="434"/>
      <c r="VTN1" s="434"/>
      <c r="VTO1" s="434"/>
      <c r="VTP1" s="434"/>
      <c r="VTQ1" s="434"/>
      <c r="VTR1" s="434"/>
      <c r="VTS1" s="434"/>
      <c r="VTT1" s="434"/>
      <c r="VTU1" s="434"/>
      <c r="VTV1" s="434"/>
      <c r="VTW1" s="434"/>
      <c r="VTX1" s="434"/>
      <c r="VTY1" s="434"/>
      <c r="VTZ1" s="434"/>
      <c r="VUA1" s="434"/>
      <c r="VUB1" s="434"/>
      <c r="VUC1" s="434"/>
      <c r="VUD1" s="434"/>
      <c r="VUE1" s="434"/>
      <c r="VUF1" s="434"/>
      <c r="VUG1" s="434"/>
      <c r="VUH1" s="434"/>
      <c r="VUI1" s="434"/>
      <c r="VUJ1" s="434"/>
      <c r="VUK1" s="434"/>
      <c r="VUL1" s="434"/>
      <c r="VUM1" s="434"/>
      <c r="VUN1" s="434"/>
      <c r="VUO1" s="434"/>
      <c r="VUP1" s="434"/>
      <c r="VUQ1" s="434"/>
      <c r="VUR1" s="434"/>
      <c r="VUS1" s="434"/>
      <c r="VUT1" s="434"/>
      <c r="VUU1" s="434"/>
      <c r="VUV1" s="434"/>
      <c r="VUW1" s="434"/>
      <c r="VUX1" s="434"/>
      <c r="VUY1" s="434"/>
      <c r="VUZ1" s="434"/>
      <c r="VVA1" s="434"/>
      <c r="VVB1" s="434"/>
      <c r="VVC1" s="434"/>
      <c r="VVD1" s="434"/>
      <c r="VVE1" s="434"/>
      <c r="VVF1" s="434"/>
      <c r="VVG1" s="434"/>
      <c r="VVH1" s="434"/>
      <c r="VVI1" s="434"/>
      <c r="VVJ1" s="434"/>
      <c r="VVK1" s="434"/>
      <c r="VVL1" s="434"/>
      <c r="VVM1" s="434"/>
      <c r="VVN1" s="434"/>
      <c r="VVO1" s="434"/>
      <c r="VVP1" s="434"/>
      <c r="VVQ1" s="434"/>
      <c r="VVR1" s="434"/>
      <c r="VVS1" s="434"/>
      <c r="VVT1" s="434"/>
      <c r="VVU1" s="434"/>
      <c r="VVV1" s="434"/>
      <c r="VVW1" s="434"/>
      <c r="VVX1" s="434"/>
      <c r="VVY1" s="434"/>
      <c r="VVZ1" s="434"/>
      <c r="VWA1" s="434"/>
      <c r="VWB1" s="434"/>
      <c r="VWC1" s="434"/>
      <c r="VWD1" s="434"/>
      <c r="VWE1" s="434"/>
      <c r="VWF1" s="434"/>
      <c r="VWG1" s="434"/>
      <c r="VWH1" s="434"/>
      <c r="VWI1" s="434"/>
      <c r="VWJ1" s="434"/>
      <c r="VWK1" s="434"/>
      <c r="VWL1" s="434"/>
      <c r="VWM1" s="434"/>
      <c r="VWN1" s="434"/>
      <c r="VWO1" s="434"/>
      <c r="VWP1" s="434"/>
      <c r="VWQ1" s="434"/>
      <c r="VWR1" s="434"/>
      <c r="VWS1" s="434"/>
      <c r="VWT1" s="434"/>
      <c r="VWU1" s="434"/>
      <c r="VWV1" s="434"/>
      <c r="VWW1" s="434"/>
      <c r="VWX1" s="434"/>
      <c r="VWY1" s="434"/>
      <c r="VWZ1" s="434"/>
      <c r="VXA1" s="434"/>
      <c r="VXB1" s="434"/>
      <c r="VXC1" s="434"/>
      <c r="VXD1" s="434"/>
      <c r="VXE1" s="434"/>
      <c r="VXF1" s="434"/>
      <c r="VXG1" s="434"/>
      <c r="VXH1" s="434"/>
      <c r="VXI1" s="434"/>
      <c r="VXJ1" s="434"/>
      <c r="VXK1" s="434"/>
      <c r="VXL1" s="434"/>
      <c r="VXM1" s="434"/>
      <c r="VXN1" s="434"/>
      <c r="VXO1" s="434"/>
      <c r="VXP1" s="434"/>
      <c r="VXQ1" s="434"/>
      <c r="VXR1" s="434"/>
      <c r="VXS1" s="434"/>
      <c r="VXT1" s="434"/>
      <c r="VXU1" s="434"/>
      <c r="VXV1" s="434"/>
      <c r="VXW1" s="434"/>
      <c r="VXX1" s="434"/>
      <c r="VXY1" s="434"/>
      <c r="VXZ1" s="434"/>
      <c r="VYA1" s="434"/>
      <c r="VYB1" s="434"/>
      <c r="VYC1" s="434"/>
      <c r="VYD1" s="434"/>
      <c r="VYE1" s="434"/>
      <c r="VYF1" s="434"/>
      <c r="VYG1" s="434"/>
      <c r="VYH1" s="434"/>
      <c r="VYI1" s="434"/>
      <c r="VYJ1" s="434"/>
      <c r="VYK1" s="434"/>
      <c r="VYL1" s="434"/>
      <c r="VYM1" s="434"/>
      <c r="VYN1" s="434"/>
      <c r="VYO1" s="434"/>
      <c r="VYP1" s="434"/>
      <c r="VYQ1" s="434"/>
      <c r="VYR1" s="434"/>
      <c r="VYS1" s="434"/>
      <c r="VYT1" s="434"/>
      <c r="VYU1" s="434"/>
      <c r="VYV1" s="434"/>
      <c r="VYW1" s="434"/>
      <c r="VYX1" s="434"/>
      <c r="VYY1" s="434"/>
      <c r="VYZ1" s="434"/>
      <c r="VZA1" s="434"/>
      <c r="VZB1" s="434"/>
      <c r="VZC1" s="434"/>
      <c r="VZD1" s="434"/>
      <c r="VZE1" s="434"/>
      <c r="VZF1" s="434"/>
      <c r="VZG1" s="434"/>
      <c r="VZH1" s="434"/>
      <c r="VZI1" s="434"/>
      <c r="VZJ1" s="434"/>
      <c r="VZK1" s="434"/>
      <c r="VZL1" s="434"/>
      <c r="VZM1" s="434"/>
      <c r="VZN1" s="434"/>
      <c r="VZO1" s="434"/>
      <c r="VZP1" s="434"/>
      <c r="VZQ1" s="434"/>
      <c r="VZR1" s="434"/>
      <c r="VZS1" s="434"/>
      <c r="VZT1" s="434"/>
      <c r="VZU1" s="434"/>
      <c r="VZV1" s="434"/>
      <c r="VZW1" s="434"/>
      <c r="VZX1" s="434"/>
      <c r="VZY1" s="434"/>
      <c r="VZZ1" s="434"/>
      <c r="WAA1" s="434"/>
      <c r="WAB1" s="434"/>
      <c r="WAC1" s="434"/>
      <c r="WAD1" s="434"/>
      <c r="WAE1" s="434"/>
      <c r="WAF1" s="434"/>
      <c r="WAG1" s="434"/>
      <c r="WAH1" s="434"/>
      <c r="WAI1" s="434"/>
      <c r="WAJ1" s="434"/>
      <c r="WAK1" s="434"/>
      <c r="WAL1" s="434"/>
      <c r="WAM1" s="434"/>
      <c r="WAN1" s="434"/>
      <c r="WAO1" s="434"/>
      <c r="WAP1" s="434"/>
      <c r="WAQ1" s="434"/>
      <c r="WAR1" s="434"/>
      <c r="WAS1" s="434"/>
      <c r="WAT1" s="434"/>
      <c r="WAU1" s="434"/>
      <c r="WAV1" s="434"/>
      <c r="WAW1" s="434"/>
      <c r="WAX1" s="434"/>
      <c r="WAY1" s="434"/>
      <c r="WAZ1" s="434"/>
      <c r="WBA1" s="434"/>
      <c r="WBB1" s="434"/>
      <c r="WBC1" s="434"/>
      <c r="WBD1" s="434"/>
      <c r="WBE1" s="434"/>
      <c r="WBF1" s="434"/>
      <c r="WBG1" s="434"/>
      <c r="WBH1" s="434"/>
      <c r="WBI1" s="434"/>
      <c r="WBJ1" s="434"/>
      <c r="WBK1" s="434"/>
      <c r="WBL1" s="434"/>
      <c r="WBM1" s="434"/>
      <c r="WBN1" s="434"/>
      <c r="WBO1" s="434"/>
      <c r="WBP1" s="434"/>
      <c r="WBQ1" s="434"/>
      <c r="WBR1" s="434"/>
      <c r="WBS1" s="434"/>
      <c r="WBT1" s="434"/>
      <c r="WBU1" s="434"/>
      <c r="WBV1" s="434"/>
      <c r="WBW1" s="434"/>
      <c r="WBX1" s="434"/>
      <c r="WBY1" s="434"/>
      <c r="WBZ1" s="434"/>
      <c r="WCA1" s="434"/>
      <c r="WCB1" s="434"/>
      <c r="WCC1" s="434"/>
      <c r="WCD1" s="434"/>
      <c r="WCE1" s="434"/>
      <c r="WCF1" s="434"/>
      <c r="WCG1" s="434"/>
      <c r="WCH1" s="434"/>
      <c r="WCI1" s="434"/>
      <c r="WCJ1" s="434"/>
      <c r="WCK1" s="434"/>
      <c r="WCL1" s="434"/>
      <c r="WCM1" s="434"/>
      <c r="WCN1" s="434"/>
      <c r="WCO1" s="434"/>
      <c r="WCP1" s="434"/>
      <c r="WCQ1" s="434"/>
      <c r="WCR1" s="434"/>
      <c r="WCS1" s="434"/>
      <c r="WCT1" s="434"/>
      <c r="WCU1" s="434"/>
      <c r="WCV1" s="434"/>
      <c r="WCW1" s="434"/>
      <c r="WCX1" s="434"/>
      <c r="WCY1" s="434"/>
      <c r="WCZ1" s="434"/>
      <c r="WDA1" s="434"/>
      <c r="WDB1" s="434"/>
      <c r="WDC1" s="434"/>
      <c r="WDD1" s="434"/>
      <c r="WDE1" s="434"/>
      <c r="WDF1" s="434"/>
      <c r="WDG1" s="434"/>
      <c r="WDH1" s="434"/>
      <c r="WDI1" s="434"/>
      <c r="WDJ1" s="434"/>
      <c r="WDK1" s="434"/>
      <c r="WDL1" s="434"/>
      <c r="WDM1" s="434"/>
      <c r="WDN1" s="434"/>
      <c r="WDO1" s="434"/>
      <c r="WDP1" s="434"/>
      <c r="WDQ1" s="434"/>
      <c r="WDR1" s="434"/>
      <c r="WDS1" s="434"/>
      <c r="WDT1" s="434"/>
      <c r="WDU1" s="434"/>
      <c r="WDV1" s="434"/>
      <c r="WDW1" s="434"/>
      <c r="WDX1" s="434"/>
      <c r="WDY1" s="434"/>
      <c r="WDZ1" s="434"/>
      <c r="WEA1" s="434"/>
      <c r="WEB1" s="434"/>
      <c r="WEC1" s="434"/>
      <c r="WED1" s="434"/>
      <c r="WEE1" s="434"/>
      <c r="WEF1" s="434"/>
      <c r="WEG1" s="434"/>
      <c r="WEH1" s="434"/>
      <c r="WEI1" s="434"/>
      <c r="WEJ1" s="434"/>
      <c r="WEK1" s="434"/>
      <c r="WEL1" s="434"/>
      <c r="WEM1" s="434"/>
      <c r="WEN1" s="434"/>
      <c r="WEO1" s="434"/>
      <c r="WEP1" s="434"/>
      <c r="WEQ1" s="434"/>
      <c r="WER1" s="434"/>
      <c r="WES1" s="434"/>
      <c r="WET1" s="434"/>
      <c r="WEU1" s="434"/>
      <c r="WEV1" s="434"/>
      <c r="WEW1" s="434"/>
      <c r="WEX1" s="434"/>
      <c r="WEY1" s="434"/>
      <c r="WEZ1" s="434"/>
      <c r="WFA1" s="434"/>
      <c r="WFB1" s="434"/>
      <c r="WFC1" s="434"/>
      <c r="WFD1" s="434"/>
      <c r="WFE1" s="434"/>
      <c r="WFF1" s="434"/>
      <c r="WFG1" s="434"/>
      <c r="WFH1" s="434"/>
      <c r="WFI1" s="434"/>
      <c r="WFJ1" s="434"/>
      <c r="WFK1" s="434"/>
      <c r="WFL1" s="434"/>
      <c r="WFM1" s="434"/>
      <c r="WFN1" s="434"/>
      <c r="WFO1" s="434"/>
      <c r="WFP1" s="434"/>
      <c r="WFQ1" s="434"/>
      <c r="WFR1" s="434"/>
      <c r="WFS1" s="434"/>
      <c r="WFT1" s="434"/>
      <c r="WFU1" s="434"/>
      <c r="WFV1" s="434"/>
      <c r="WFW1" s="434"/>
      <c r="WFX1" s="434"/>
      <c r="WFY1" s="434"/>
      <c r="WFZ1" s="434"/>
      <c r="WGA1" s="434"/>
      <c r="WGB1" s="434"/>
      <c r="WGC1" s="434"/>
      <c r="WGD1" s="434"/>
      <c r="WGE1" s="434"/>
      <c r="WGF1" s="434"/>
      <c r="WGG1" s="434"/>
      <c r="WGH1" s="434"/>
      <c r="WGI1" s="434"/>
      <c r="WGJ1" s="434"/>
      <c r="WGK1" s="434"/>
      <c r="WGL1" s="434"/>
      <c r="WGM1" s="434"/>
      <c r="WGN1" s="434"/>
      <c r="WGO1" s="434"/>
      <c r="WGP1" s="434"/>
      <c r="WGQ1" s="434"/>
      <c r="WGR1" s="434"/>
      <c r="WGS1" s="434"/>
      <c r="WGT1" s="434"/>
      <c r="WGU1" s="434"/>
      <c r="WGV1" s="434"/>
      <c r="WGW1" s="434"/>
      <c r="WGX1" s="434"/>
      <c r="WGY1" s="434"/>
      <c r="WGZ1" s="434"/>
      <c r="WHA1" s="434"/>
      <c r="WHB1" s="434"/>
      <c r="WHC1" s="434"/>
      <c r="WHD1" s="434"/>
      <c r="WHE1" s="434"/>
      <c r="WHF1" s="434"/>
      <c r="WHG1" s="434"/>
      <c r="WHH1" s="434"/>
      <c r="WHI1" s="434"/>
      <c r="WHJ1" s="434"/>
      <c r="WHK1" s="434"/>
      <c r="WHL1" s="434"/>
      <c r="WHM1" s="434"/>
      <c r="WHN1" s="434"/>
      <c r="WHO1" s="434"/>
      <c r="WHP1" s="434"/>
      <c r="WHQ1" s="434"/>
      <c r="WHR1" s="434"/>
      <c r="WHS1" s="434"/>
      <c r="WHT1" s="434"/>
      <c r="WHU1" s="434"/>
      <c r="WHV1" s="434"/>
      <c r="WHW1" s="434"/>
      <c r="WHX1" s="434"/>
      <c r="WHY1" s="434"/>
      <c r="WHZ1" s="434"/>
      <c r="WIA1" s="434"/>
      <c r="WIB1" s="434"/>
      <c r="WIC1" s="434"/>
      <c r="WID1" s="434"/>
      <c r="WIE1" s="434"/>
      <c r="WIF1" s="434"/>
      <c r="WIG1" s="434"/>
      <c r="WIH1" s="434"/>
      <c r="WII1" s="434"/>
      <c r="WIJ1" s="434"/>
      <c r="WIK1" s="434"/>
      <c r="WIL1" s="434"/>
      <c r="WIM1" s="434"/>
      <c r="WIN1" s="434"/>
      <c r="WIO1" s="434"/>
      <c r="WIP1" s="434"/>
      <c r="WIQ1" s="434"/>
      <c r="WIR1" s="434"/>
      <c r="WIS1" s="434"/>
      <c r="WIT1" s="434"/>
      <c r="WIU1" s="434"/>
      <c r="WIV1" s="434"/>
      <c r="WIW1" s="434"/>
      <c r="WIX1" s="434"/>
      <c r="WIY1" s="434"/>
      <c r="WIZ1" s="434"/>
      <c r="WJA1" s="434"/>
      <c r="WJB1" s="434"/>
      <c r="WJC1" s="434"/>
      <c r="WJD1" s="434"/>
      <c r="WJE1" s="434"/>
      <c r="WJF1" s="434"/>
      <c r="WJG1" s="434"/>
      <c r="WJH1" s="434"/>
      <c r="WJI1" s="434"/>
      <c r="WJJ1" s="434"/>
      <c r="WJK1" s="434"/>
      <c r="WJL1" s="434"/>
      <c r="WJM1" s="434"/>
      <c r="WJN1" s="434"/>
      <c r="WJO1" s="434"/>
      <c r="WJP1" s="434"/>
      <c r="WJQ1" s="434"/>
      <c r="WJR1" s="434"/>
      <c r="WJS1" s="434"/>
      <c r="WJT1" s="434"/>
      <c r="WJU1" s="434"/>
      <c r="WJV1" s="434"/>
      <c r="WJW1" s="434"/>
      <c r="WJX1" s="434"/>
      <c r="WJY1" s="434"/>
      <c r="WJZ1" s="434"/>
      <c r="WKA1" s="434"/>
      <c r="WKB1" s="434"/>
      <c r="WKC1" s="434"/>
      <c r="WKD1" s="434"/>
      <c r="WKE1" s="434"/>
      <c r="WKF1" s="434"/>
      <c r="WKG1" s="434"/>
      <c r="WKH1" s="434"/>
      <c r="WKI1" s="434"/>
      <c r="WKJ1" s="434"/>
      <c r="WKK1" s="434"/>
      <c r="WKL1" s="434"/>
      <c r="WKM1" s="434"/>
      <c r="WKN1" s="434"/>
      <c r="WKO1" s="434"/>
      <c r="WKP1" s="434"/>
      <c r="WKQ1" s="434"/>
      <c r="WKR1" s="434"/>
      <c r="WKS1" s="434"/>
      <c r="WKT1" s="434"/>
      <c r="WKU1" s="434"/>
      <c r="WKV1" s="434"/>
      <c r="WKW1" s="434"/>
      <c r="WKX1" s="434"/>
      <c r="WKY1" s="434"/>
      <c r="WKZ1" s="434"/>
      <c r="WLA1" s="434"/>
      <c r="WLB1" s="434"/>
      <c r="WLC1" s="434"/>
      <c r="WLD1" s="434"/>
      <c r="WLE1" s="434"/>
      <c r="WLF1" s="434"/>
      <c r="WLG1" s="434"/>
      <c r="WLH1" s="434"/>
      <c r="WLI1" s="434"/>
      <c r="WLJ1" s="434"/>
      <c r="WLK1" s="434"/>
      <c r="WLL1" s="434"/>
      <c r="WLM1" s="434"/>
      <c r="WLN1" s="434"/>
      <c r="WLO1" s="434"/>
      <c r="WLP1" s="434"/>
      <c r="WLQ1" s="434"/>
      <c r="WLR1" s="434"/>
      <c r="WLS1" s="434"/>
      <c r="WLT1" s="434"/>
      <c r="WLU1" s="434"/>
      <c r="WLV1" s="434"/>
      <c r="WLW1" s="434"/>
      <c r="WLX1" s="434"/>
      <c r="WLY1" s="434"/>
      <c r="WLZ1" s="434"/>
      <c r="WMA1" s="434"/>
      <c r="WMB1" s="434"/>
      <c r="WMC1" s="434"/>
      <c r="WMD1" s="434"/>
      <c r="WME1" s="434"/>
      <c r="WMF1" s="434"/>
      <c r="WMG1" s="434"/>
      <c r="WMH1" s="434"/>
      <c r="WMI1" s="434"/>
      <c r="WMJ1" s="434"/>
      <c r="WMK1" s="434"/>
      <c r="WML1" s="434"/>
      <c r="WMM1" s="434"/>
      <c r="WMN1" s="434"/>
      <c r="WMO1" s="434"/>
      <c r="WMP1" s="434"/>
      <c r="WMQ1" s="434"/>
      <c r="WMR1" s="434"/>
      <c r="WMS1" s="434"/>
      <c r="WMT1" s="434"/>
      <c r="WMU1" s="434"/>
      <c r="WMV1" s="434"/>
      <c r="WMW1" s="434"/>
      <c r="WMX1" s="434"/>
      <c r="WMY1" s="434"/>
      <c r="WMZ1" s="434"/>
      <c r="WNA1" s="434"/>
      <c r="WNB1" s="434"/>
      <c r="WNC1" s="434"/>
      <c r="WND1" s="434"/>
      <c r="WNE1" s="434"/>
      <c r="WNF1" s="434"/>
      <c r="WNG1" s="434"/>
      <c r="WNH1" s="434"/>
      <c r="WNI1" s="434"/>
      <c r="WNJ1" s="434"/>
      <c r="WNK1" s="434"/>
      <c r="WNL1" s="434"/>
      <c r="WNM1" s="434"/>
      <c r="WNN1" s="434"/>
      <c r="WNO1" s="434"/>
      <c r="WNP1" s="434"/>
      <c r="WNQ1" s="434"/>
      <c r="WNR1" s="434"/>
      <c r="WNS1" s="434"/>
      <c r="WNT1" s="434"/>
      <c r="WNU1" s="434"/>
      <c r="WNV1" s="434"/>
      <c r="WNW1" s="434"/>
      <c r="WNX1" s="434"/>
      <c r="WNY1" s="434"/>
      <c r="WNZ1" s="434"/>
      <c r="WOA1" s="434"/>
      <c r="WOB1" s="434"/>
      <c r="WOC1" s="434"/>
      <c r="WOD1" s="434"/>
      <c r="WOE1" s="434"/>
      <c r="WOF1" s="434"/>
      <c r="WOG1" s="434"/>
      <c r="WOH1" s="434"/>
      <c r="WOI1" s="434"/>
      <c r="WOJ1" s="434"/>
      <c r="WOK1" s="434"/>
      <c r="WOL1" s="434"/>
      <c r="WOM1" s="434"/>
      <c r="WON1" s="434"/>
      <c r="WOO1" s="434"/>
      <c r="WOP1" s="434"/>
      <c r="WOQ1" s="434"/>
      <c r="WOR1" s="434"/>
      <c r="WOS1" s="434"/>
      <c r="WOT1" s="434"/>
      <c r="WOU1" s="434"/>
      <c r="WOV1" s="434"/>
      <c r="WOW1" s="434"/>
      <c r="WOX1" s="434"/>
      <c r="WOY1" s="434"/>
      <c r="WOZ1" s="434"/>
      <c r="WPA1" s="434"/>
      <c r="WPB1" s="434"/>
      <c r="WPC1" s="434"/>
      <c r="WPD1" s="434"/>
      <c r="WPE1" s="434"/>
      <c r="WPF1" s="434"/>
      <c r="WPG1" s="434"/>
      <c r="WPH1" s="434"/>
      <c r="WPI1" s="434"/>
      <c r="WPJ1" s="434"/>
      <c r="WPK1" s="434"/>
      <c r="WPL1" s="434"/>
      <c r="WPM1" s="434"/>
      <c r="WPN1" s="434"/>
      <c r="WPO1" s="434"/>
      <c r="WPP1" s="434"/>
      <c r="WPQ1" s="434"/>
      <c r="WPR1" s="434"/>
      <c r="WPS1" s="434"/>
      <c r="WPT1" s="434"/>
      <c r="WPU1" s="434"/>
      <c r="WPV1" s="434"/>
      <c r="WPW1" s="434"/>
      <c r="WPX1" s="434"/>
      <c r="WPY1" s="434"/>
      <c r="WPZ1" s="434"/>
      <c r="WQA1" s="434"/>
      <c r="WQB1" s="434"/>
      <c r="WQC1" s="434"/>
      <c r="WQD1" s="434"/>
      <c r="WQE1" s="434"/>
      <c r="WQF1" s="434"/>
      <c r="WQG1" s="434"/>
      <c r="WQH1" s="434"/>
      <c r="WQI1" s="434"/>
      <c r="WQJ1" s="434"/>
      <c r="WQK1" s="434"/>
      <c r="WQL1" s="434"/>
      <c r="WQM1" s="434"/>
      <c r="WQN1" s="434"/>
      <c r="WQO1" s="434"/>
      <c r="WQP1" s="434"/>
      <c r="WQQ1" s="434"/>
      <c r="WQR1" s="434"/>
      <c r="WQS1" s="434"/>
      <c r="WQT1" s="434"/>
      <c r="WQU1" s="434"/>
      <c r="WQV1" s="434"/>
      <c r="WQW1" s="434"/>
      <c r="WQX1" s="434"/>
      <c r="WQY1" s="434"/>
      <c r="WQZ1" s="434"/>
      <c r="WRA1" s="434"/>
      <c r="WRB1" s="434"/>
      <c r="WRC1" s="434"/>
      <c r="WRD1" s="434"/>
      <c r="WRE1" s="434"/>
      <c r="WRF1" s="434"/>
      <c r="WRG1" s="434"/>
      <c r="WRH1" s="434"/>
      <c r="WRI1" s="434"/>
      <c r="WRJ1" s="434"/>
      <c r="WRK1" s="434"/>
      <c r="WRL1" s="434"/>
      <c r="WRM1" s="434"/>
      <c r="WRN1" s="434"/>
      <c r="WRO1" s="434"/>
      <c r="WRP1" s="434"/>
      <c r="WRQ1" s="434"/>
      <c r="WRR1" s="434"/>
      <c r="WRS1" s="434"/>
      <c r="WRT1" s="434"/>
      <c r="WRU1" s="434"/>
      <c r="WRV1" s="434"/>
      <c r="WRW1" s="434"/>
      <c r="WRX1" s="434"/>
      <c r="WRY1" s="434"/>
      <c r="WRZ1" s="434"/>
      <c r="WSA1" s="434"/>
      <c r="WSB1" s="434"/>
      <c r="WSC1" s="434"/>
      <c r="WSD1" s="434"/>
      <c r="WSE1" s="434"/>
      <c r="WSF1" s="434"/>
      <c r="WSG1" s="434"/>
      <c r="WSH1" s="434"/>
      <c r="WSI1" s="434"/>
      <c r="WSJ1" s="434"/>
      <c r="WSK1" s="434"/>
      <c r="WSL1" s="434"/>
      <c r="WSM1" s="434"/>
      <c r="WSN1" s="434"/>
      <c r="WSO1" s="434"/>
      <c r="WSP1" s="434"/>
      <c r="WSQ1" s="434"/>
      <c r="WSR1" s="434"/>
      <c r="WSS1" s="434"/>
      <c r="WST1" s="434"/>
      <c r="WSU1" s="434"/>
      <c r="WSV1" s="434"/>
      <c r="WSW1" s="434"/>
      <c r="WSX1" s="434"/>
      <c r="WSY1" s="434"/>
      <c r="WSZ1" s="434"/>
      <c r="WTA1" s="434"/>
      <c r="WTB1" s="434"/>
      <c r="WTC1" s="434"/>
      <c r="WTD1" s="434"/>
      <c r="WTE1" s="434"/>
      <c r="WTF1" s="434"/>
      <c r="WTG1" s="434"/>
      <c r="WTH1" s="434"/>
      <c r="WTI1" s="434"/>
      <c r="WTJ1" s="434"/>
      <c r="WTK1" s="434"/>
      <c r="WTL1" s="434"/>
      <c r="WTM1" s="434"/>
      <c r="WTN1" s="434"/>
      <c r="WTO1" s="434"/>
      <c r="WTP1" s="434"/>
      <c r="WTQ1" s="434"/>
      <c r="WTR1" s="434"/>
      <c r="WTS1" s="434"/>
      <c r="WTT1" s="434"/>
      <c r="WTU1" s="434"/>
      <c r="WTV1" s="434"/>
      <c r="WTW1" s="434"/>
      <c r="WTX1" s="434"/>
      <c r="WTY1" s="434"/>
      <c r="WTZ1" s="434"/>
      <c r="WUA1" s="434"/>
      <c r="WUB1" s="434"/>
      <c r="WUC1" s="434"/>
      <c r="WUD1" s="434"/>
      <c r="WUE1" s="434"/>
      <c r="WUF1" s="434"/>
      <c r="WUG1" s="434"/>
      <c r="WUH1" s="434"/>
      <c r="WUI1" s="434"/>
      <c r="WUJ1" s="434"/>
      <c r="WUK1" s="434"/>
      <c r="WUL1" s="434"/>
      <c r="WUM1" s="434"/>
      <c r="WUN1" s="434"/>
      <c r="WUO1" s="434"/>
      <c r="WUP1" s="434"/>
      <c r="WUQ1" s="434"/>
      <c r="WUR1" s="434"/>
      <c r="WUS1" s="434"/>
      <c r="WUT1" s="434"/>
      <c r="WUU1" s="434"/>
      <c r="WUV1" s="434"/>
      <c r="WUW1" s="434"/>
      <c r="WUX1" s="434"/>
      <c r="WUY1" s="434"/>
      <c r="WUZ1" s="434"/>
      <c r="WVA1" s="434"/>
      <c r="WVB1" s="434"/>
      <c r="WVC1" s="434"/>
      <c r="WVD1" s="434"/>
      <c r="WVE1" s="434"/>
      <c r="WVF1" s="434"/>
      <c r="WVG1" s="434"/>
      <c r="WVH1" s="434"/>
      <c r="WVI1" s="434"/>
      <c r="WVJ1" s="434"/>
      <c r="WVK1" s="434"/>
      <c r="WVL1" s="434"/>
      <c r="WVM1" s="434"/>
      <c r="WVN1" s="434"/>
      <c r="WVO1" s="434"/>
      <c r="WVP1" s="434"/>
      <c r="WVQ1" s="434"/>
      <c r="WVR1" s="434"/>
      <c r="WVS1" s="434"/>
      <c r="WVT1" s="434"/>
      <c r="WVU1" s="434"/>
      <c r="WVV1" s="434"/>
      <c r="WVW1" s="434"/>
      <c r="WVX1" s="434"/>
      <c r="WVY1" s="434"/>
      <c r="WVZ1" s="434"/>
      <c r="WWA1" s="434"/>
      <c r="WWB1" s="434"/>
      <c r="WWC1" s="434"/>
      <c r="WWD1" s="434"/>
      <c r="WWE1" s="434"/>
      <c r="WWF1" s="434"/>
      <c r="WWG1" s="434"/>
      <c r="WWH1" s="434"/>
      <c r="WWI1" s="434"/>
      <c r="WWJ1" s="434"/>
      <c r="WWK1" s="434"/>
      <c r="WWL1" s="434"/>
      <c r="WWM1" s="434"/>
      <c r="WWN1" s="434"/>
      <c r="WWO1" s="434"/>
      <c r="WWP1" s="434"/>
      <c r="WWQ1" s="434"/>
      <c r="WWR1" s="434"/>
      <c r="WWS1" s="434"/>
      <c r="WWT1" s="434"/>
      <c r="WWU1" s="434"/>
      <c r="WWV1" s="434"/>
      <c r="WWW1" s="434"/>
      <c r="WWX1" s="434"/>
      <c r="WWY1" s="434"/>
      <c r="WWZ1" s="434"/>
      <c r="WXA1" s="434"/>
      <c r="WXB1" s="434"/>
      <c r="WXC1" s="434"/>
      <c r="WXD1" s="434"/>
      <c r="WXE1" s="434"/>
      <c r="WXF1" s="434"/>
      <c r="WXG1" s="434"/>
      <c r="WXH1" s="434"/>
      <c r="WXI1" s="434"/>
      <c r="WXJ1" s="434"/>
      <c r="WXK1" s="434"/>
      <c r="WXL1" s="434"/>
      <c r="WXM1" s="434"/>
      <c r="WXN1" s="434"/>
      <c r="WXO1" s="434"/>
      <c r="WXP1" s="434"/>
      <c r="WXQ1" s="434"/>
      <c r="WXR1" s="434"/>
      <c r="WXS1" s="434"/>
      <c r="WXT1" s="434"/>
      <c r="WXU1" s="434"/>
      <c r="WXV1" s="434"/>
      <c r="WXW1" s="434"/>
      <c r="WXX1" s="434"/>
      <c r="WXY1" s="434"/>
      <c r="WXZ1" s="434"/>
      <c r="WYA1" s="434"/>
      <c r="WYB1" s="434"/>
      <c r="WYC1" s="434"/>
      <c r="WYD1" s="434"/>
      <c r="WYE1" s="434"/>
      <c r="WYF1" s="434"/>
      <c r="WYG1" s="434"/>
      <c r="WYH1" s="434"/>
      <c r="WYI1" s="434"/>
      <c r="WYJ1" s="434"/>
      <c r="WYK1" s="434"/>
      <c r="WYL1" s="434"/>
      <c r="WYM1" s="434"/>
      <c r="WYN1" s="434"/>
      <c r="WYO1" s="434"/>
      <c r="WYP1" s="434"/>
      <c r="WYQ1" s="434"/>
      <c r="WYR1" s="434"/>
      <c r="WYS1" s="434"/>
      <c r="WYT1" s="434"/>
      <c r="WYU1" s="434"/>
      <c r="WYV1" s="434"/>
      <c r="WYW1" s="434"/>
      <c r="WYX1" s="434"/>
      <c r="WYY1" s="434"/>
      <c r="WYZ1" s="434"/>
      <c r="WZA1" s="434"/>
      <c r="WZB1" s="434"/>
      <c r="WZC1" s="434"/>
      <c r="WZD1" s="434"/>
      <c r="WZE1" s="434"/>
      <c r="WZF1" s="434"/>
      <c r="WZG1" s="434"/>
      <c r="WZH1" s="434"/>
      <c r="WZI1" s="434"/>
      <c r="WZJ1" s="434"/>
      <c r="WZK1" s="434"/>
      <c r="WZL1" s="434"/>
      <c r="WZM1" s="434"/>
      <c r="WZN1" s="434"/>
      <c r="WZO1" s="434"/>
      <c r="WZP1" s="434"/>
      <c r="WZQ1" s="434"/>
      <c r="WZR1" s="434"/>
      <c r="WZS1" s="434"/>
      <c r="WZT1" s="434"/>
      <c r="WZU1" s="434"/>
      <c r="WZV1" s="434"/>
      <c r="WZW1" s="434"/>
      <c r="WZX1" s="434"/>
      <c r="WZY1" s="434"/>
      <c r="WZZ1" s="434"/>
      <c r="XAA1" s="434"/>
      <c r="XAB1" s="434"/>
      <c r="XAC1" s="434"/>
      <c r="XAD1" s="434"/>
      <c r="XAE1" s="434"/>
      <c r="XAF1" s="434"/>
      <c r="XAG1" s="434"/>
      <c r="XAH1" s="434"/>
      <c r="XAI1" s="434"/>
      <c r="XAJ1" s="434"/>
      <c r="XAK1" s="434"/>
      <c r="XAL1" s="434"/>
      <c r="XAM1" s="434"/>
      <c r="XAN1" s="434"/>
      <c r="XAO1" s="434"/>
      <c r="XAP1" s="434"/>
      <c r="XAQ1" s="434"/>
      <c r="XAR1" s="434"/>
      <c r="XAS1" s="434"/>
      <c r="XAT1" s="434"/>
      <c r="XAU1" s="434"/>
      <c r="XAV1" s="434"/>
      <c r="XAW1" s="434"/>
      <c r="XAX1" s="434"/>
      <c r="XAY1" s="434"/>
      <c r="XAZ1" s="434"/>
      <c r="XBA1" s="434"/>
      <c r="XBB1" s="434"/>
      <c r="XBC1" s="434"/>
      <c r="XBD1" s="434"/>
      <c r="XBE1" s="434"/>
      <c r="XBF1" s="434"/>
      <c r="XBG1" s="434"/>
      <c r="XBH1" s="434"/>
      <c r="XBI1" s="434"/>
      <c r="XBJ1" s="434"/>
      <c r="XBK1" s="434"/>
      <c r="XBL1" s="434"/>
      <c r="XBM1" s="434"/>
      <c r="XBN1" s="434"/>
      <c r="XBO1" s="434"/>
      <c r="XBP1" s="434"/>
      <c r="XBQ1" s="434"/>
      <c r="XBR1" s="434"/>
      <c r="XBS1" s="434"/>
      <c r="XBT1" s="434"/>
      <c r="XBU1" s="434"/>
      <c r="XBV1" s="434"/>
      <c r="XBW1" s="434"/>
      <c r="XBX1" s="434"/>
      <c r="XBY1" s="434"/>
      <c r="XBZ1" s="434"/>
      <c r="XCA1" s="434"/>
      <c r="XCB1" s="434"/>
      <c r="XCC1" s="434"/>
      <c r="XCD1" s="434"/>
      <c r="XCE1" s="434"/>
      <c r="XCF1" s="434"/>
      <c r="XCG1" s="434"/>
      <c r="XCH1" s="434"/>
      <c r="XCI1" s="434"/>
      <c r="XCJ1" s="434"/>
      <c r="XCK1" s="434"/>
      <c r="XCL1" s="434"/>
      <c r="XCM1" s="434"/>
      <c r="XCN1" s="434"/>
      <c r="XCO1" s="434"/>
      <c r="XCP1" s="434"/>
      <c r="XCQ1" s="434"/>
      <c r="XCR1" s="434"/>
      <c r="XCS1" s="434"/>
      <c r="XCT1" s="434"/>
      <c r="XCU1" s="434"/>
      <c r="XCV1" s="434"/>
      <c r="XCW1" s="434"/>
      <c r="XCX1" s="434"/>
      <c r="XCY1" s="434"/>
      <c r="XCZ1" s="434"/>
      <c r="XDA1" s="434"/>
      <c r="XDB1" s="434"/>
      <c r="XDC1" s="434"/>
      <c r="XDD1" s="434"/>
      <c r="XDE1" s="434"/>
      <c r="XDF1" s="434"/>
      <c r="XDG1" s="434"/>
      <c r="XDH1" s="434"/>
      <c r="XDI1" s="434"/>
      <c r="XDJ1" s="434"/>
      <c r="XDK1" s="434"/>
      <c r="XDL1" s="434"/>
      <c r="XDM1" s="434"/>
      <c r="XDN1" s="434"/>
      <c r="XDO1" s="434"/>
      <c r="XDP1" s="434"/>
      <c r="XDQ1" s="434"/>
      <c r="XDR1" s="434"/>
      <c r="XDS1" s="434"/>
      <c r="XDT1" s="434"/>
      <c r="XDU1" s="434"/>
      <c r="XDV1" s="434"/>
      <c r="XDW1" s="434"/>
      <c r="XDX1" s="434"/>
      <c r="XDY1" s="434"/>
      <c r="XDZ1" s="434"/>
      <c r="XEA1" s="434"/>
      <c r="XEB1" s="434"/>
      <c r="XEC1" s="434"/>
      <c r="XED1" s="434"/>
      <c r="XEE1" s="434"/>
      <c r="XEF1" s="434"/>
      <c r="XEG1" s="434"/>
      <c r="XEH1" s="434"/>
      <c r="XEI1" s="434"/>
      <c r="XEJ1" s="434"/>
      <c r="XEK1" s="434"/>
      <c r="XEL1" s="434"/>
      <c r="XEM1" s="434"/>
      <c r="XEN1" s="434"/>
      <c r="XEO1" s="434"/>
      <c r="XEP1" s="434"/>
      <c r="XEQ1" s="434"/>
      <c r="XER1" s="434"/>
      <c r="XES1" s="434"/>
      <c r="XET1" s="434"/>
      <c r="XEU1" s="434"/>
      <c r="XEV1" s="434"/>
      <c r="XEW1" s="434"/>
      <c r="XEX1" s="434"/>
      <c r="XEY1" s="434"/>
      <c r="XEZ1" s="434"/>
      <c r="XFA1" s="434"/>
      <c r="XFB1" s="434"/>
    </row>
    <row r="2" spans="1:16382" x14ac:dyDescent="0.3">
      <c r="A2" s="397" t="s">
        <v>2799</v>
      </c>
      <c r="B2" s="398" t="s">
        <v>2800</v>
      </c>
      <c r="C2" s="399"/>
      <c r="D2" s="398" t="s">
        <v>2703</v>
      </c>
      <c r="E2" s="401"/>
      <c r="F2" s="399"/>
    </row>
    <row r="3" spans="1:16382" x14ac:dyDescent="0.3">
      <c r="A3" s="372" t="s">
        <v>77</v>
      </c>
      <c r="B3" s="377" t="s">
        <v>2805</v>
      </c>
      <c r="C3" s="375" t="s">
        <v>2803</v>
      </c>
      <c r="D3" s="419"/>
      <c r="E3" s="402" t="s">
        <v>2829</v>
      </c>
      <c r="F3" s="378" t="s">
        <v>2820</v>
      </c>
    </row>
    <row r="4" spans="1:16382" x14ac:dyDescent="0.3">
      <c r="A4" s="353" t="s">
        <v>2769</v>
      </c>
      <c r="B4" s="348"/>
      <c r="C4" s="374" t="s">
        <v>2803</v>
      </c>
      <c r="D4" s="416" t="s">
        <v>2863</v>
      </c>
      <c r="E4" s="403"/>
      <c r="F4" s="381">
        <v>40</v>
      </c>
    </row>
    <row r="5" spans="1:16382" x14ac:dyDescent="0.3">
      <c r="A5" s="351" t="s">
        <v>2801</v>
      </c>
      <c r="B5" s="424">
        <f>F4*E5</f>
        <v>600</v>
      </c>
      <c r="C5" s="374" t="s">
        <v>2803</v>
      </c>
      <c r="D5" s="416" t="s">
        <v>2852</v>
      </c>
      <c r="E5" s="428">
        <v>15</v>
      </c>
    </row>
    <row r="6" spans="1:16382" x14ac:dyDescent="0.3">
      <c r="A6" s="351"/>
      <c r="B6" s="348"/>
      <c r="E6" s="404"/>
    </row>
    <row r="7" spans="1:16382" x14ac:dyDescent="0.3">
      <c r="A7" s="353" t="s">
        <v>2832</v>
      </c>
      <c r="B7" s="348"/>
      <c r="E7" s="403"/>
    </row>
    <row r="8" spans="1:16382" x14ac:dyDescent="0.3">
      <c r="A8" s="351" t="s">
        <v>2855</v>
      </c>
      <c r="B8" s="352">
        <v>1800</v>
      </c>
      <c r="E8" s="404"/>
    </row>
    <row r="9" spans="1:16382" x14ac:dyDescent="0.3">
      <c r="A9" s="351"/>
      <c r="B9" s="348"/>
      <c r="E9" s="404"/>
    </row>
    <row r="10" spans="1:16382" x14ac:dyDescent="0.3">
      <c r="A10" s="353" t="s">
        <v>27</v>
      </c>
      <c r="B10" s="348"/>
      <c r="E10" s="403"/>
    </row>
    <row r="11" spans="1:16382" x14ac:dyDescent="0.3">
      <c r="A11" s="351" t="s">
        <v>2856</v>
      </c>
      <c r="B11" s="352">
        <v>1000</v>
      </c>
      <c r="C11" s="425">
        <v>3300</v>
      </c>
      <c r="D11" s="416" t="s">
        <v>2881</v>
      </c>
      <c r="E11" s="404"/>
    </row>
    <row r="12" spans="1:16382" x14ac:dyDescent="0.3">
      <c r="A12" s="351"/>
      <c r="B12" s="348"/>
      <c r="E12" s="404"/>
    </row>
    <row r="13" spans="1:16382" x14ac:dyDescent="0.3">
      <c r="A13" s="353" t="s">
        <v>31</v>
      </c>
      <c r="B13" s="348"/>
      <c r="E13" s="403"/>
    </row>
    <row r="14" spans="1:16382" x14ac:dyDescent="0.3">
      <c r="A14" s="351" t="s">
        <v>2802</v>
      </c>
      <c r="B14" s="348"/>
      <c r="E14" s="404"/>
    </row>
    <row r="15" spans="1:16382" ht="27.6" x14ac:dyDescent="0.3">
      <c r="A15" s="351" t="s">
        <v>2804</v>
      </c>
      <c r="B15" s="348">
        <v>1000</v>
      </c>
      <c r="C15" s="426">
        <v>330</v>
      </c>
      <c r="D15" s="416" t="s">
        <v>2882</v>
      </c>
      <c r="E15" s="404"/>
    </row>
    <row r="16" spans="1:16382" x14ac:dyDescent="0.3">
      <c r="A16" s="351"/>
      <c r="B16" s="348"/>
      <c r="E16" s="404"/>
    </row>
    <row r="17" spans="1:7" ht="14.4" thickBot="1" x14ac:dyDescent="0.35">
      <c r="A17" s="379" t="s">
        <v>33</v>
      </c>
      <c r="B17" s="380">
        <f>SUM(B4:B16)</f>
        <v>4400</v>
      </c>
      <c r="C17" s="380">
        <f>SUM(C4:C16)</f>
        <v>3630</v>
      </c>
      <c r="D17" s="420"/>
      <c r="E17" s="405"/>
    </row>
    <row r="18" spans="1:7" ht="14.4" thickTop="1" x14ac:dyDescent="0.3">
      <c r="A18" s="353"/>
      <c r="B18" s="349"/>
      <c r="E18" s="403"/>
    </row>
    <row r="19" spans="1:7" ht="25.5" customHeight="1" x14ac:dyDescent="0.3">
      <c r="A19" s="372" t="s">
        <v>2793</v>
      </c>
      <c r="B19" s="377" t="s">
        <v>2805</v>
      </c>
      <c r="C19" s="376" t="s">
        <v>2803</v>
      </c>
      <c r="D19" s="419"/>
      <c r="E19" s="402" t="s">
        <v>2829</v>
      </c>
      <c r="F19" s="376" t="s">
        <v>2851</v>
      </c>
      <c r="G19" s="417" t="s">
        <v>2857</v>
      </c>
    </row>
    <row r="20" spans="1:7" ht="27.6" x14ac:dyDescent="0.3">
      <c r="A20" s="353" t="s">
        <v>2807</v>
      </c>
      <c r="B20" s="348"/>
      <c r="D20" s="416" t="s">
        <v>2806</v>
      </c>
      <c r="E20" s="403"/>
      <c r="F20" s="411" t="s">
        <v>2851</v>
      </c>
    </row>
    <row r="21" spans="1:7" x14ac:dyDescent="0.3">
      <c r="A21" s="351" t="s">
        <v>2808</v>
      </c>
      <c r="B21" s="424">
        <f>E21*F21*G21</f>
        <v>550</v>
      </c>
      <c r="C21" s="348"/>
      <c r="E21" s="404">
        <v>1</v>
      </c>
      <c r="F21" s="412">
        <v>22</v>
      </c>
      <c r="G21" s="347">
        <v>25</v>
      </c>
    </row>
    <row r="22" spans="1:7" x14ac:dyDescent="0.3">
      <c r="A22" s="351" t="s">
        <v>2809</v>
      </c>
      <c r="B22" s="348"/>
      <c r="C22" s="427">
        <f>E22*F22*G22</f>
        <v>1600</v>
      </c>
      <c r="D22" s="416" t="s">
        <v>2858</v>
      </c>
      <c r="E22" s="404">
        <v>20</v>
      </c>
      <c r="F22" s="412">
        <v>16</v>
      </c>
      <c r="G22" s="347">
        <v>5</v>
      </c>
    </row>
    <row r="23" spans="1:7" x14ac:dyDescent="0.3">
      <c r="A23" s="351" t="s">
        <v>2810</v>
      </c>
      <c r="B23" s="348"/>
      <c r="C23" s="427">
        <f>E23*F23*G23</f>
        <v>1600</v>
      </c>
      <c r="D23" s="416" t="s">
        <v>2858</v>
      </c>
      <c r="E23" s="404">
        <v>1</v>
      </c>
      <c r="F23" s="412">
        <v>16</v>
      </c>
      <c r="G23" s="347">
        <v>100</v>
      </c>
    </row>
    <row r="24" spans="1:7" x14ac:dyDescent="0.3">
      <c r="A24" s="351" t="s">
        <v>2815</v>
      </c>
      <c r="B24" s="424">
        <f>E24*F24*G24</f>
        <v>500</v>
      </c>
      <c r="C24" s="413"/>
      <c r="D24" s="416" t="s">
        <v>2859</v>
      </c>
      <c r="E24" s="404">
        <v>5</v>
      </c>
      <c r="F24" s="412">
        <v>20</v>
      </c>
      <c r="G24" s="347">
        <v>5</v>
      </c>
    </row>
    <row r="25" spans="1:7" ht="27.6" x14ac:dyDescent="0.3">
      <c r="A25" s="351" t="s">
        <v>2812</v>
      </c>
      <c r="B25" s="348">
        <f>E25*F25*G25</f>
        <v>110</v>
      </c>
      <c r="C25" s="413"/>
      <c r="D25" s="416" t="s">
        <v>2860</v>
      </c>
      <c r="E25" s="404">
        <v>1</v>
      </c>
      <c r="F25" s="412">
        <v>22</v>
      </c>
      <c r="G25" s="347">
        <v>5</v>
      </c>
    </row>
    <row r="26" spans="1:7" x14ac:dyDescent="0.3">
      <c r="A26" s="351" t="s">
        <v>2782</v>
      </c>
      <c r="B26" s="413">
        <f>E26*F26</f>
        <v>130</v>
      </c>
      <c r="D26" s="416" t="s">
        <v>2861</v>
      </c>
      <c r="E26" s="404">
        <v>26</v>
      </c>
      <c r="F26" s="412">
        <v>5</v>
      </c>
    </row>
    <row r="27" spans="1:7" ht="27.6" x14ac:dyDescent="0.3">
      <c r="A27" s="351" t="s">
        <v>2813</v>
      </c>
      <c r="B27" s="348">
        <f>E27*F27*G27</f>
        <v>0</v>
      </c>
      <c r="C27" s="413">
        <f>E27*F27</f>
        <v>100</v>
      </c>
      <c r="D27" s="416" t="s">
        <v>2862</v>
      </c>
      <c r="E27" s="404">
        <v>5</v>
      </c>
      <c r="F27" s="412">
        <v>20</v>
      </c>
    </row>
    <row r="28" spans="1:7" x14ac:dyDescent="0.3">
      <c r="A28" s="354" t="s">
        <v>2811</v>
      </c>
      <c r="B28" s="355">
        <f>SUM(B20:B27)</f>
        <v>1290</v>
      </c>
      <c r="C28" s="355">
        <f>SUM(C20:C27)</f>
        <v>3300</v>
      </c>
      <c r="E28" s="406"/>
    </row>
    <row r="29" spans="1:7" x14ac:dyDescent="0.3">
      <c r="A29" s="354"/>
      <c r="B29" s="356"/>
      <c r="E29" s="406"/>
    </row>
    <row r="30" spans="1:7" ht="24" customHeight="1" x14ac:dyDescent="0.3">
      <c r="A30" s="372" t="s">
        <v>2819</v>
      </c>
      <c r="B30" s="377" t="s">
        <v>2805</v>
      </c>
      <c r="C30" s="376" t="s">
        <v>2803</v>
      </c>
      <c r="D30" s="421"/>
      <c r="E30" s="402" t="s">
        <v>2829</v>
      </c>
      <c r="F30" s="378" t="s">
        <v>2820</v>
      </c>
    </row>
    <row r="31" spans="1:7" x14ac:dyDescent="0.3">
      <c r="A31" s="353" t="s">
        <v>2821</v>
      </c>
      <c r="B31" s="348">
        <f>E31*F31</f>
        <v>0</v>
      </c>
      <c r="C31" s="348">
        <f>E31*F31</f>
        <v>0</v>
      </c>
      <c r="E31" s="405"/>
      <c r="F31" s="381">
        <v>40</v>
      </c>
    </row>
    <row r="32" spans="1:7" x14ac:dyDescent="0.3">
      <c r="A32" s="357" t="s">
        <v>2816</v>
      </c>
      <c r="B32" s="348">
        <f>E32*F31</f>
        <v>50</v>
      </c>
      <c r="C32" s="348"/>
      <c r="E32" s="407">
        <v>1.25</v>
      </c>
    </row>
    <row r="33" spans="1:5" x14ac:dyDescent="0.3">
      <c r="A33" s="357" t="s">
        <v>2817</v>
      </c>
      <c r="B33" s="348">
        <f>E33*F31</f>
        <v>160</v>
      </c>
      <c r="C33" s="348"/>
      <c r="E33" s="407">
        <v>4</v>
      </c>
    </row>
    <row r="34" spans="1:5" x14ac:dyDescent="0.3">
      <c r="A34" s="357" t="s">
        <v>2822</v>
      </c>
      <c r="B34" s="348">
        <f>E34*F31</f>
        <v>120</v>
      </c>
      <c r="C34" s="348"/>
      <c r="E34" s="407">
        <v>3</v>
      </c>
    </row>
    <row r="35" spans="1:5" x14ac:dyDescent="0.3">
      <c r="A35" s="357" t="s">
        <v>2783</v>
      </c>
      <c r="B35" s="348">
        <f>E35*F31</f>
        <v>280</v>
      </c>
      <c r="C35" s="348"/>
      <c r="E35" s="407">
        <v>7</v>
      </c>
    </row>
    <row r="36" spans="1:5" x14ac:dyDescent="0.3">
      <c r="A36" s="354" t="s">
        <v>2823</v>
      </c>
      <c r="B36" s="355">
        <f>SUM(B31:B35)</f>
        <v>610</v>
      </c>
      <c r="C36" s="355">
        <f>SUM(C31:C35)</f>
        <v>0</v>
      </c>
      <c r="E36" s="406"/>
    </row>
    <row r="38" spans="1:5" ht="24" customHeight="1" x14ac:dyDescent="0.3">
      <c r="A38" s="350" t="s">
        <v>2796</v>
      </c>
      <c r="B38" s="377" t="s">
        <v>2805</v>
      </c>
      <c r="C38" s="376" t="s">
        <v>2803</v>
      </c>
      <c r="E38" s="408"/>
    </row>
    <row r="39" spans="1:5" x14ac:dyDescent="0.3">
      <c r="A39" s="353" t="s">
        <v>2778</v>
      </c>
      <c r="B39" s="348"/>
      <c r="D39" s="416" t="s">
        <v>2835</v>
      </c>
      <c r="E39" s="403"/>
    </row>
    <row r="40" spans="1:5" x14ac:dyDescent="0.3">
      <c r="A40" s="357" t="s">
        <v>2825</v>
      </c>
      <c r="B40" s="348"/>
      <c r="C40" s="423">
        <v>200</v>
      </c>
      <c r="D40" s="416" t="s">
        <v>2864</v>
      </c>
      <c r="E40" s="404"/>
    </row>
    <row r="41" spans="1:5" ht="27.6" x14ac:dyDescent="0.3">
      <c r="A41" s="357" t="s">
        <v>2818</v>
      </c>
      <c r="B41" s="348">
        <v>100</v>
      </c>
      <c r="D41" s="416" t="s">
        <v>2865</v>
      </c>
      <c r="E41" s="404"/>
    </row>
    <row r="42" spans="1:5" x14ac:dyDescent="0.3">
      <c r="A42" s="357" t="s">
        <v>2833</v>
      </c>
      <c r="B42" s="348">
        <v>500</v>
      </c>
      <c r="D42" s="416" t="s">
        <v>2866</v>
      </c>
      <c r="E42" s="404"/>
    </row>
    <row r="43" spans="1:5" x14ac:dyDescent="0.3">
      <c r="A43" s="357" t="s">
        <v>2824</v>
      </c>
      <c r="B43" s="348">
        <v>100</v>
      </c>
      <c r="D43" s="416" t="s">
        <v>2867</v>
      </c>
      <c r="E43" s="404"/>
    </row>
    <row r="44" spans="1:5" x14ac:dyDescent="0.3">
      <c r="A44" s="353" t="s">
        <v>2779</v>
      </c>
      <c r="B44" s="348"/>
      <c r="E44" s="403"/>
    </row>
    <row r="45" spans="1:5" x14ac:dyDescent="0.3">
      <c r="A45" s="357" t="s">
        <v>2784</v>
      </c>
      <c r="B45" s="348"/>
      <c r="D45" s="416" t="s">
        <v>2868</v>
      </c>
      <c r="E45" s="404"/>
    </row>
    <row r="46" spans="1:5" x14ac:dyDescent="0.3">
      <c r="A46" s="357" t="s">
        <v>2785</v>
      </c>
      <c r="B46" s="348"/>
      <c r="D46" s="416" t="s">
        <v>2868</v>
      </c>
      <c r="E46" s="404"/>
    </row>
    <row r="47" spans="1:5" x14ac:dyDescent="0.3">
      <c r="A47" s="353" t="s">
        <v>2780</v>
      </c>
      <c r="B47" s="348"/>
      <c r="E47" s="403"/>
    </row>
    <row r="48" spans="1:5" x14ac:dyDescent="0.3">
      <c r="A48" s="357" t="s">
        <v>2786</v>
      </c>
      <c r="B48" s="348">
        <v>1000</v>
      </c>
      <c r="D48" s="416" t="s">
        <v>2869</v>
      </c>
      <c r="E48" s="404"/>
    </row>
    <row r="49" spans="1:5" x14ac:dyDescent="0.3">
      <c r="A49" s="357" t="s">
        <v>2834</v>
      </c>
      <c r="B49" s="348">
        <v>250</v>
      </c>
      <c r="D49" s="416" t="s">
        <v>2870</v>
      </c>
      <c r="E49" s="404"/>
    </row>
    <row r="50" spans="1:5" x14ac:dyDescent="0.3">
      <c r="A50" s="357" t="s">
        <v>2787</v>
      </c>
      <c r="B50" s="348">
        <v>250</v>
      </c>
      <c r="D50" s="416" t="s">
        <v>2871</v>
      </c>
      <c r="E50" s="404"/>
    </row>
    <row r="51" spans="1:5" x14ac:dyDescent="0.3">
      <c r="A51" s="357" t="s">
        <v>2840</v>
      </c>
      <c r="B51" s="348"/>
      <c r="D51" s="416" t="s">
        <v>2872</v>
      </c>
      <c r="E51" s="404"/>
    </row>
    <row r="52" spans="1:5" x14ac:dyDescent="0.3">
      <c r="A52" s="357" t="s">
        <v>2841</v>
      </c>
      <c r="B52" s="348">
        <v>100</v>
      </c>
      <c r="D52" s="416" t="s">
        <v>2873</v>
      </c>
      <c r="E52" s="404"/>
    </row>
    <row r="53" spans="1:5" x14ac:dyDescent="0.3">
      <c r="A53" s="357" t="s">
        <v>2788</v>
      </c>
      <c r="B53" s="348"/>
      <c r="D53" s="416" t="s">
        <v>2872</v>
      </c>
      <c r="E53" s="404"/>
    </row>
    <row r="54" spans="1:5" x14ac:dyDescent="0.3">
      <c r="A54" s="353" t="s">
        <v>2781</v>
      </c>
      <c r="B54" s="348"/>
      <c r="E54" s="403"/>
    </row>
    <row r="55" spans="1:5" x14ac:dyDescent="0.3">
      <c r="A55" s="351" t="s">
        <v>2789</v>
      </c>
      <c r="B55" s="348">
        <v>100</v>
      </c>
      <c r="D55" s="416" t="s">
        <v>2874</v>
      </c>
      <c r="E55" s="404"/>
    </row>
    <row r="56" spans="1:5" x14ac:dyDescent="0.3">
      <c r="A56" s="351" t="s">
        <v>2790</v>
      </c>
      <c r="B56" s="348">
        <v>100</v>
      </c>
      <c r="D56" s="416" t="s">
        <v>2875</v>
      </c>
      <c r="E56" s="404"/>
    </row>
    <row r="57" spans="1:5" x14ac:dyDescent="0.3">
      <c r="A57" s="351" t="s">
        <v>2842</v>
      </c>
      <c r="B57" s="348"/>
      <c r="D57" s="416" t="s">
        <v>2876</v>
      </c>
      <c r="E57" s="404"/>
    </row>
    <row r="58" spans="1:5" x14ac:dyDescent="0.3">
      <c r="A58" s="351" t="s">
        <v>55</v>
      </c>
      <c r="B58" s="348">
        <v>200</v>
      </c>
      <c r="D58" s="416" t="s">
        <v>2877</v>
      </c>
      <c r="E58" s="404"/>
    </row>
    <row r="59" spans="1:5" x14ac:dyDescent="0.3">
      <c r="A59" s="351" t="s">
        <v>48</v>
      </c>
      <c r="B59" s="348"/>
      <c r="D59" s="416" t="s">
        <v>2878</v>
      </c>
      <c r="E59" s="404"/>
    </row>
    <row r="60" spans="1:5" x14ac:dyDescent="0.3">
      <c r="A60" s="357" t="s">
        <v>2791</v>
      </c>
      <c r="B60" s="348"/>
      <c r="D60" s="416" t="s">
        <v>2879</v>
      </c>
      <c r="E60" s="404"/>
    </row>
    <row r="61" spans="1:5" x14ac:dyDescent="0.3">
      <c r="A61" s="357" t="s">
        <v>2792</v>
      </c>
      <c r="B61" s="348"/>
      <c r="D61" s="416" t="s">
        <v>2880</v>
      </c>
      <c r="E61" s="404"/>
    </row>
    <row r="62" spans="1:5" x14ac:dyDescent="0.3">
      <c r="A62" s="354" t="s">
        <v>2826</v>
      </c>
      <c r="B62" s="355">
        <f>SUM(B40:B61)</f>
        <v>2700</v>
      </c>
      <c r="C62" s="355">
        <f>SUM(C40:C61)</f>
        <v>200</v>
      </c>
      <c r="E62" s="406"/>
    </row>
    <row r="64" spans="1:5" ht="14.4" thickBot="1" x14ac:dyDescent="0.35">
      <c r="A64" s="379" t="s">
        <v>2827</v>
      </c>
      <c r="B64" s="380">
        <f>B62+B36+B28</f>
        <v>4600</v>
      </c>
      <c r="C64" s="380">
        <f>C62+C36+C28</f>
        <v>3500</v>
      </c>
      <c r="D64" s="420"/>
      <c r="E64" s="405"/>
    </row>
    <row r="65" spans="1:5" ht="14.4" thickTop="1" x14ac:dyDescent="0.3"/>
    <row r="66" spans="1:5" x14ac:dyDescent="0.3">
      <c r="A66" s="382" t="s">
        <v>2828</v>
      </c>
      <c r="B66" s="383">
        <f>B17-B64</f>
        <v>-200</v>
      </c>
      <c r="C66" s="383">
        <f>C17-C64</f>
        <v>130</v>
      </c>
      <c r="D66" s="422"/>
      <c r="E66" s="410"/>
    </row>
    <row r="68" spans="1:5" x14ac:dyDescent="0.3">
      <c r="A68" s="414" t="s">
        <v>2883</v>
      </c>
    </row>
    <row r="69" spans="1:5" ht="25.8" customHeight="1" x14ac:dyDescent="0.3">
      <c r="A69" s="414" t="s">
        <v>2836</v>
      </c>
      <c r="B69" s="415">
        <f>B64/F31</f>
        <v>115</v>
      </c>
      <c r="D69" s="416" t="s">
        <v>2853</v>
      </c>
    </row>
    <row r="70" spans="1:5" ht="82.8" x14ac:dyDescent="0.3">
      <c r="A70" s="414" t="s">
        <v>2837</v>
      </c>
      <c r="B70" s="347">
        <f>(B17-B64)/B64</f>
        <v>-4.3478260869565216E-2</v>
      </c>
      <c r="D70" s="416" t="s">
        <v>2885</v>
      </c>
    </row>
  </sheetData>
  <mergeCells count="4094">
    <mergeCell ref="XEU1:XEX1"/>
    <mergeCell ref="XEY1:XFB1"/>
    <mergeCell ref="XDW1:XDZ1"/>
    <mergeCell ref="XEA1:XED1"/>
    <mergeCell ref="XEE1:XEH1"/>
    <mergeCell ref="XEI1:XEL1"/>
    <mergeCell ref="XEM1:XEP1"/>
    <mergeCell ref="XEQ1:XET1"/>
    <mergeCell ref="XCY1:XDB1"/>
    <mergeCell ref="XDC1:XDF1"/>
    <mergeCell ref="XDG1:XDJ1"/>
    <mergeCell ref="XDK1:XDN1"/>
    <mergeCell ref="XDO1:XDR1"/>
    <mergeCell ref="XDS1:XDV1"/>
    <mergeCell ref="XCA1:XCD1"/>
    <mergeCell ref="XCE1:XCH1"/>
    <mergeCell ref="XCI1:XCL1"/>
    <mergeCell ref="XCM1:XCP1"/>
    <mergeCell ref="XCQ1:XCT1"/>
    <mergeCell ref="XCU1:XCX1"/>
    <mergeCell ref="XBC1:XBF1"/>
    <mergeCell ref="XBG1:XBJ1"/>
    <mergeCell ref="XBK1:XBN1"/>
    <mergeCell ref="XBO1:XBR1"/>
    <mergeCell ref="XBS1:XBV1"/>
    <mergeCell ref="XBW1:XBZ1"/>
    <mergeCell ref="XAE1:XAH1"/>
    <mergeCell ref="XAI1:XAL1"/>
    <mergeCell ref="XAM1:XAP1"/>
    <mergeCell ref="XAQ1:XAT1"/>
    <mergeCell ref="XAU1:XAX1"/>
    <mergeCell ref="XAY1:XBB1"/>
    <mergeCell ref="WZG1:WZJ1"/>
    <mergeCell ref="WZK1:WZN1"/>
    <mergeCell ref="WZO1:WZR1"/>
    <mergeCell ref="WZS1:WZV1"/>
    <mergeCell ref="WZW1:WZZ1"/>
    <mergeCell ref="XAA1:XAD1"/>
    <mergeCell ref="WYI1:WYL1"/>
    <mergeCell ref="WYM1:WYP1"/>
    <mergeCell ref="WYQ1:WYT1"/>
    <mergeCell ref="WYU1:WYX1"/>
    <mergeCell ref="WYY1:WZB1"/>
    <mergeCell ref="WZC1:WZF1"/>
    <mergeCell ref="WXK1:WXN1"/>
    <mergeCell ref="WXO1:WXR1"/>
    <mergeCell ref="WXS1:WXV1"/>
    <mergeCell ref="WXW1:WXZ1"/>
    <mergeCell ref="WYA1:WYD1"/>
    <mergeCell ref="WYE1:WYH1"/>
    <mergeCell ref="WWM1:WWP1"/>
    <mergeCell ref="WWQ1:WWT1"/>
    <mergeCell ref="WWU1:WWX1"/>
    <mergeCell ref="WWY1:WXB1"/>
    <mergeCell ref="WXC1:WXF1"/>
    <mergeCell ref="WXG1:WXJ1"/>
    <mergeCell ref="WVO1:WVR1"/>
    <mergeCell ref="WVS1:WVV1"/>
    <mergeCell ref="WVW1:WVZ1"/>
    <mergeCell ref="WWA1:WWD1"/>
    <mergeCell ref="WWE1:WWH1"/>
    <mergeCell ref="WWI1:WWL1"/>
    <mergeCell ref="WUQ1:WUT1"/>
    <mergeCell ref="WUU1:WUX1"/>
    <mergeCell ref="WUY1:WVB1"/>
    <mergeCell ref="WVC1:WVF1"/>
    <mergeCell ref="WVG1:WVJ1"/>
    <mergeCell ref="WVK1:WVN1"/>
    <mergeCell ref="WTS1:WTV1"/>
    <mergeCell ref="WTW1:WTZ1"/>
    <mergeCell ref="WUA1:WUD1"/>
    <mergeCell ref="WUE1:WUH1"/>
    <mergeCell ref="WUI1:WUL1"/>
    <mergeCell ref="WUM1:WUP1"/>
    <mergeCell ref="WSU1:WSX1"/>
    <mergeCell ref="WSY1:WTB1"/>
    <mergeCell ref="WTC1:WTF1"/>
    <mergeCell ref="WTG1:WTJ1"/>
    <mergeCell ref="WTK1:WTN1"/>
    <mergeCell ref="WTO1:WTR1"/>
    <mergeCell ref="WRW1:WRZ1"/>
    <mergeCell ref="WSA1:WSD1"/>
    <mergeCell ref="WSE1:WSH1"/>
    <mergeCell ref="WSI1:WSL1"/>
    <mergeCell ref="WSM1:WSP1"/>
    <mergeCell ref="WSQ1:WST1"/>
    <mergeCell ref="WQY1:WRB1"/>
    <mergeCell ref="WRC1:WRF1"/>
    <mergeCell ref="WRG1:WRJ1"/>
    <mergeCell ref="WRK1:WRN1"/>
    <mergeCell ref="WRO1:WRR1"/>
    <mergeCell ref="WRS1:WRV1"/>
    <mergeCell ref="WQA1:WQD1"/>
    <mergeCell ref="WQE1:WQH1"/>
    <mergeCell ref="WQI1:WQL1"/>
    <mergeCell ref="WQM1:WQP1"/>
    <mergeCell ref="WQQ1:WQT1"/>
    <mergeCell ref="WQU1:WQX1"/>
    <mergeCell ref="WPC1:WPF1"/>
    <mergeCell ref="WPG1:WPJ1"/>
    <mergeCell ref="WPK1:WPN1"/>
    <mergeCell ref="WPO1:WPR1"/>
    <mergeCell ref="WPS1:WPV1"/>
    <mergeCell ref="WPW1:WPZ1"/>
    <mergeCell ref="WOE1:WOH1"/>
    <mergeCell ref="WOI1:WOL1"/>
    <mergeCell ref="WOM1:WOP1"/>
    <mergeCell ref="WOQ1:WOT1"/>
    <mergeCell ref="WOU1:WOX1"/>
    <mergeCell ref="WOY1:WPB1"/>
    <mergeCell ref="WNG1:WNJ1"/>
    <mergeCell ref="WNK1:WNN1"/>
    <mergeCell ref="WNO1:WNR1"/>
    <mergeCell ref="WNS1:WNV1"/>
    <mergeCell ref="WNW1:WNZ1"/>
    <mergeCell ref="WOA1:WOD1"/>
    <mergeCell ref="WMI1:WML1"/>
    <mergeCell ref="WMM1:WMP1"/>
    <mergeCell ref="WMQ1:WMT1"/>
    <mergeCell ref="WMU1:WMX1"/>
    <mergeCell ref="WMY1:WNB1"/>
    <mergeCell ref="WNC1:WNF1"/>
    <mergeCell ref="WLK1:WLN1"/>
    <mergeCell ref="WLO1:WLR1"/>
    <mergeCell ref="WLS1:WLV1"/>
    <mergeCell ref="WLW1:WLZ1"/>
    <mergeCell ref="WMA1:WMD1"/>
    <mergeCell ref="WME1:WMH1"/>
    <mergeCell ref="WKM1:WKP1"/>
    <mergeCell ref="WKQ1:WKT1"/>
    <mergeCell ref="WKU1:WKX1"/>
    <mergeCell ref="WKY1:WLB1"/>
    <mergeCell ref="WLC1:WLF1"/>
    <mergeCell ref="WLG1:WLJ1"/>
    <mergeCell ref="WJO1:WJR1"/>
    <mergeCell ref="WJS1:WJV1"/>
    <mergeCell ref="WJW1:WJZ1"/>
    <mergeCell ref="WKA1:WKD1"/>
    <mergeCell ref="WKE1:WKH1"/>
    <mergeCell ref="WKI1:WKL1"/>
    <mergeCell ref="WIQ1:WIT1"/>
    <mergeCell ref="WIU1:WIX1"/>
    <mergeCell ref="WIY1:WJB1"/>
    <mergeCell ref="WJC1:WJF1"/>
    <mergeCell ref="WJG1:WJJ1"/>
    <mergeCell ref="WJK1:WJN1"/>
    <mergeCell ref="WHS1:WHV1"/>
    <mergeCell ref="WHW1:WHZ1"/>
    <mergeCell ref="WIA1:WID1"/>
    <mergeCell ref="WIE1:WIH1"/>
    <mergeCell ref="WII1:WIL1"/>
    <mergeCell ref="WIM1:WIP1"/>
    <mergeCell ref="WGU1:WGX1"/>
    <mergeCell ref="WGY1:WHB1"/>
    <mergeCell ref="WHC1:WHF1"/>
    <mergeCell ref="WHG1:WHJ1"/>
    <mergeCell ref="WHK1:WHN1"/>
    <mergeCell ref="WHO1:WHR1"/>
    <mergeCell ref="WFW1:WFZ1"/>
    <mergeCell ref="WGA1:WGD1"/>
    <mergeCell ref="WGE1:WGH1"/>
    <mergeCell ref="WGI1:WGL1"/>
    <mergeCell ref="WGM1:WGP1"/>
    <mergeCell ref="WGQ1:WGT1"/>
    <mergeCell ref="WEY1:WFB1"/>
    <mergeCell ref="WFC1:WFF1"/>
    <mergeCell ref="WFG1:WFJ1"/>
    <mergeCell ref="WFK1:WFN1"/>
    <mergeCell ref="WFO1:WFR1"/>
    <mergeCell ref="WFS1:WFV1"/>
    <mergeCell ref="WEA1:WED1"/>
    <mergeCell ref="WEE1:WEH1"/>
    <mergeCell ref="WEI1:WEL1"/>
    <mergeCell ref="WEM1:WEP1"/>
    <mergeCell ref="WEQ1:WET1"/>
    <mergeCell ref="WEU1:WEX1"/>
    <mergeCell ref="WDC1:WDF1"/>
    <mergeCell ref="WDG1:WDJ1"/>
    <mergeCell ref="WDK1:WDN1"/>
    <mergeCell ref="WDO1:WDR1"/>
    <mergeCell ref="WDS1:WDV1"/>
    <mergeCell ref="WDW1:WDZ1"/>
    <mergeCell ref="WCE1:WCH1"/>
    <mergeCell ref="WCI1:WCL1"/>
    <mergeCell ref="WCM1:WCP1"/>
    <mergeCell ref="WCQ1:WCT1"/>
    <mergeCell ref="WCU1:WCX1"/>
    <mergeCell ref="WCY1:WDB1"/>
    <mergeCell ref="WBG1:WBJ1"/>
    <mergeCell ref="WBK1:WBN1"/>
    <mergeCell ref="WBO1:WBR1"/>
    <mergeCell ref="WBS1:WBV1"/>
    <mergeCell ref="WBW1:WBZ1"/>
    <mergeCell ref="WCA1:WCD1"/>
    <mergeCell ref="WAI1:WAL1"/>
    <mergeCell ref="WAM1:WAP1"/>
    <mergeCell ref="WAQ1:WAT1"/>
    <mergeCell ref="WAU1:WAX1"/>
    <mergeCell ref="WAY1:WBB1"/>
    <mergeCell ref="WBC1:WBF1"/>
    <mergeCell ref="VZK1:VZN1"/>
    <mergeCell ref="VZO1:VZR1"/>
    <mergeCell ref="VZS1:VZV1"/>
    <mergeCell ref="VZW1:VZZ1"/>
    <mergeCell ref="WAA1:WAD1"/>
    <mergeCell ref="WAE1:WAH1"/>
    <mergeCell ref="VYM1:VYP1"/>
    <mergeCell ref="VYQ1:VYT1"/>
    <mergeCell ref="VYU1:VYX1"/>
    <mergeCell ref="VYY1:VZB1"/>
    <mergeCell ref="VZC1:VZF1"/>
    <mergeCell ref="VZG1:VZJ1"/>
    <mergeCell ref="VXO1:VXR1"/>
    <mergeCell ref="VXS1:VXV1"/>
    <mergeCell ref="VXW1:VXZ1"/>
    <mergeCell ref="VYA1:VYD1"/>
    <mergeCell ref="VYE1:VYH1"/>
    <mergeCell ref="VYI1:VYL1"/>
    <mergeCell ref="VWQ1:VWT1"/>
    <mergeCell ref="VWU1:VWX1"/>
    <mergeCell ref="VWY1:VXB1"/>
    <mergeCell ref="VXC1:VXF1"/>
    <mergeCell ref="VXG1:VXJ1"/>
    <mergeCell ref="VXK1:VXN1"/>
    <mergeCell ref="VVS1:VVV1"/>
    <mergeCell ref="VVW1:VVZ1"/>
    <mergeCell ref="VWA1:VWD1"/>
    <mergeCell ref="VWE1:VWH1"/>
    <mergeCell ref="VWI1:VWL1"/>
    <mergeCell ref="VWM1:VWP1"/>
    <mergeCell ref="VUU1:VUX1"/>
    <mergeCell ref="VUY1:VVB1"/>
    <mergeCell ref="VVC1:VVF1"/>
    <mergeCell ref="VVG1:VVJ1"/>
    <mergeCell ref="VVK1:VVN1"/>
    <mergeCell ref="VVO1:VVR1"/>
    <mergeCell ref="VTW1:VTZ1"/>
    <mergeCell ref="VUA1:VUD1"/>
    <mergeCell ref="VUE1:VUH1"/>
    <mergeCell ref="VUI1:VUL1"/>
    <mergeCell ref="VUM1:VUP1"/>
    <mergeCell ref="VUQ1:VUT1"/>
    <mergeCell ref="VSY1:VTB1"/>
    <mergeCell ref="VTC1:VTF1"/>
    <mergeCell ref="VTG1:VTJ1"/>
    <mergeCell ref="VTK1:VTN1"/>
    <mergeCell ref="VTO1:VTR1"/>
    <mergeCell ref="VTS1:VTV1"/>
    <mergeCell ref="VSA1:VSD1"/>
    <mergeCell ref="VSE1:VSH1"/>
    <mergeCell ref="VSI1:VSL1"/>
    <mergeCell ref="VSM1:VSP1"/>
    <mergeCell ref="VSQ1:VST1"/>
    <mergeCell ref="VSU1:VSX1"/>
    <mergeCell ref="VRC1:VRF1"/>
    <mergeCell ref="VRG1:VRJ1"/>
    <mergeCell ref="VRK1:VRN1"/>
    <mergeCell ref="VRO1:VRR1"/>
    <mergeCell ref="VRS1:VRV1"/>
    <mergeCell ref="VRW1:VRZ1"/>
    <mergeCell ref="VQE1:VQH1"/>
    <mergeCell ref="VQI1:VQL1"/>
    <mergeCell ref="VQM1:VQP1"/>
    <mergeCell ref="VQQ1:VQT1"/>
    <mergeCell ref="VQU1:VQX1"/>
    <mergeCell ref="VQY1:VRB1"/>
    <mergeCell ref="VPG1:VPJ1"/>
    <mergeCell ref="VPK1:VPN1"/>
    <mergeCell ref="VPO1:VPR1"/>
    <mergeCell ref="VPS1:VPV1"/>
    <mergeCell ref="VPW1:VPZ1"/>
    <mergeCell ref="VQA1:VQD1"/>
    <mergeCell ref="VOI1:VOL1"/>
    <mergeCell ref="VOM1:VOP1"/>
    <mergeCell ref="VOQ1:VOT1"/>
    <mergeCell ref="VOU1:VOX1"/>
    <mergeCell ref="VOY1:VPB1"/>
    <mergeCell ref="VPC1:VPF1"/>
    <mergeCell ref="VNK1:VNN1"/>
    <mergeCell ref="VNO1:VNR1"/>
    <mergeCell ref="VNS1:VNV1"/>
    <mergeCell ref="VNW1:VNZ1"/>
    <mergeCell ref="VOA1:VOD1"/>
    <mergeCell ref="VOE1:VOH1"/>
    <mergeCell ref="VMM1:VMP1"/>
    <mergeCell ref="VMQ1:VMT1"/>
    <mergeCell ref="VMU1:VMX1"/>
    <mergeCell ref="VMY1:VNB1"/>
    <mergeCell ref="VNC1:VNF1"/>
    <mergeCell ref="VNG1:VNJ1"/>
    <mergeCell ref="VLO1:VLR1"/>
    <mergeCell ref="VLS1:VLV1"/>
    <mergeCell ref="VLW1:VLZ1"/>
    <mergeCell ref="VMA1:VMD1"/>
    <mergeCell ref="VME1:VMH1"/>
    <mergeCell ref="VMI1:VML1"/>
    <mergeCell ref="VKQ1:VKT1"/>
    <mergeCell ref="VKU1:VKX1"/>
    <mergeCell ref="VKY1:VLB1"/>
    <mergeCell ref="VLC1:VLF1"/>
    <mergeCell ref="VLG1:VLJ1"/>
    <mergeCell ref="VLK1:VLN1"/>
    <mergeCell ref="VJS1:VJV1"/>
    <mergeCell ref="VJW1:VJZ1"/>
    <mergeCell ref="VKA1:VKD1"/>
    <mergeCell ref="VKE1:VKH1"/>
    <mergeCell ref="VKI1:VKL1"/>
    <mergeCell ref="VKM1:VKP1"/>
    <mergeCell ref="VIU1:VIX1"/>
    <mergeCell ref="VIY1:VJB1"/>
    <mergeCell ref="VJC1:VJF1"/>
    <mergeCell ref="VJG1:VJJ1"/>
    <mergeCell ref="VJK1:VJN1"/>
    <mergeCell ref="VJO1:VJR1"/>
    <mergeCell ref="VHW1:VHZ1"/>
    <mergeCell ref="VIA1:VID1"/>
    <mergeCell ref="VIE1:VIH1"/>
    <mergeCell ref="VII1:VIL1"/>
    <mergeCell ref="VIM1:VIP1"/>
    <mergeCell ref="VIQ1:VIT1"/>
    <mergeCell ref="VGY1:VHB1"/>
    <mergeCell ref="VHC1:VHF1"/>
    <mergeCell ref="VHG1:VHJ1"/>
    <mergeCell ref="VHK1:VHN1"/>
    <mergeCell ref="VHO1:VHR1"/>
    <mergeCell ref="VHS1:VHV1"/>
    <mergeCell ref="VGA1:VGD1"/>
    <mergeCell ref="VGE1:VGH1"/>
    <mergeCell ref="VGI1:VGL1"/>
    <mergeCell ref="VGM1:VGP1"/>
    <mergeCell ref="VGQ1:VGT1"/>
    <mergeCell ref="VGU1:VGX1"/>
    <mergeCell ref="VFC1:VFF1"/>
    <mergeCell ref="VFG1:VFJ1"/>
    <mergeCell ref="VFK1:VFN1"/>
    <mergeCell ref="VFO1:VFR1"/>
    <mergeCell ref="VFS1:VFV1"/>
    <mergeCell ref="VFW1:VFZ1"/>
    <mergeCell ref="VEE1:VEH1"/>
    <mergeCell ref="VEI1:VEL1"/>
    <mergeCell ref="VEM1:VEP1"/>
    <mergeCell ref="VEQ1:VET1"/>
    <mergeCell ref="VEU1:VEX1"/>
    <mergeCell ref="VEY1:VFB1"/>
    <mergeCell ref="VDG1:VDJ1"/>
    <mergeCell ref="VDK1:VDN1"/>
    <mergeCell ref="VDO1:VDR1"/>
    <mergeCell ref="VDS1:VDV1"/>
    <mergeCell ref="VDW1:VDZ1"/>
    <mergeCell ref="VEA1:VED1"/>
    <mergeCell ref="VCI1:VCL1"/>
    <mergeCell ref="VCM1:VCP1"/>
    <mergeCell ref="VCQ1:VCT1"/>
    <mergeCell ref="VCU1:VCX1"/>
    <mergeCell ref="VCY1:VDB1"/>
    <mergeCell ref="VDC1:VDF1"/>
    <mergeCell ref="VBK1:VBN1"/>
    <mergeCell ref="VBO1:VBR1"/>
    <mergeCell ref="VBS1:VBV1"/>
    <mergeCell ref="VBW1:VBZ1"/>
    <mergeCell ref="VCA1:VCD1"/>
    <mergeCell ref="VCE1:VCH1"/>
    <mergeCell ref="VAM1:VAP1"/>
    <mergeCell ref="VAQ1:VAT1"/>
    <mergeCell ref="VAU1:VAX1"/>
    <mergeCell ref="VAY1:VBB1"/>
    <mergeCell ref="VBC1:VBF1"/>
    <mergeCell ref="VBG1:VBJ1"/>
    <mergeCell ref="UZO1:UZR1"/>
    <mergeCell ref="UZS1:UZV1"/>
    <mergeCell ref="UZW1:UZZ1"/>
    <mergeCell ref="VAA1:VAD1"/>
    <mergeCell ref="VAE1:VAH1"/>
    <mergeCell ref="VAI1:VAL1"/>
    <mergeCell ref="UYQ1:UYT1"/>
    <mergeCell ref="UYU1:UYX1"/>
    <mergeCell ref="UYY1:UZB1"/>
    <mergeCell ref="UZC1:UZF1"/>
    <mergeCell ref="UZG1:UZJ1"/>
    <mergeCell ref="UZK1:UZN1"/>
    <mergeCell ref="UXS1:UXV1"/>
    <mergeCell ref="UXW1:UXZ1"/>
    <mergeCell ref="UYA1:UYD1"/>
    <mergeCell ref="UYE1:UYH1"/>
    <mergeCell ref="UYI1:UYL1"/>
    <mergeCell ref="UYM1:UYP1"/>
    <mergeCell ref="UWU1:UWX1"/>
    <mergeCell ref="UWY1:UXB1"/>
    <mergeCell ref="UXC1:UXF1"/>
    <mergeCell ref="UXG1:UXJ1"/>
    <mergeCell ref="UXK1:UXN1"/>
    <mergeCell ref="UXO1:UXR1"/>
    <mergeCell ref="UVW1:UVZ1"/>
    <mergeCell ref="UWA1:UWD1"/>
    <mergeCell ref="UWE1:UWH1"/>
    <mergeCell ref="UWI1:UWL1"/>
    <mergeCell ref="UWM1:UWP1"/>
    <mergeCell ref="UWQ1:UWT1"/>
    <mergeCell ref="UUY1:UVB1"/>
    <mergeCell ref="UVC1:UVF1"/>
    <mergeCell ref="UVG1:UVJ1"/>
    <mergeCell ref="UVK1:UVN1"/>
    <mergeCell ref="UVO1:UVR1"/>
    <mergeCell ref="UVS1:UVV1"/>
    <mergeCell ref="UUA1:UUD1"/>
    <mergeCell ref="UUE1:UUH1"/>
    <mergeCell ref="UUI1:UUL1"/>
    <mergeCell ref="UUM1:UUP1"/>
    <mergeCell ref="UUQ1:UUT1"/>
    <mergeCell ref="UUU1:UUX1"/>
    <mergeCell ref="UTC1:UTF1"/>
    <mergeCell ref="UTG1:UTJ1"/>
    <mergeCell ref="UTK1:UTN1"/>
    <mergeCell ref="UTO1:UTR1"/>
    <mergeCell ref="UTS1:UTV1"/>
    <mergeCell ref="UTW1:UTZ1"/>
    <mergeCell ref="USE1:USH1"/>
    <mergeCell ref="USI1:USL1"/>
    <mergeCell ref="USM1:USP1"/>
    <mergeCell ref="USQ1:UST1"/>
    <mergeCell ref="USU1:USX1"/>
    <mergeCell ref="USY1:UTB1"/>
    <mergeCell ref="URG1:URJ1"/>
    <mergeCell ref="URK1:URN1"/>
    <mergeCell ref="URO1:URR1"/>
    <mergeCell ref="URS1:URV1"/>
    <mergeCell ref="URW1:URZ1"/>
    <mergeCell ref="USA1:USD1"/>
    <mergeCell ref="UQI1:UQL1"/>
    <mergeCell ref="UQM1:UQP1"/>
    <mergeCell ref="UQQ1:UQT1"/>
    <mergeCell ref="UQU1:UQX1"/>
    <mergeCell ref="UQY1:URB1"/>
    <mergeCell ref="URC1:URF1"/>
    <mergeCell ref="UPK1:UPN1"/>
    <mergeCell ref="UPO1:UPR1"/>
    <mergeCell ref="UPS1:UPV1"/>
    <mergeCell ref="UPW1:UPZ1"/>
    <mergeCell ref="UQA1:UQD1"/>
    <mergeCell ref="UQE1:UQH1"/>
    <mergeCell ref="UOM1:UOP1"/>
    <mergeCell ref="UOQ1:UOT1"/>
    <mergeCell ref="UOU1:UOX1"/>
    <mergeCell ref="UOY1:UPB1"/>
    <mergeCell ref="UPC1:UPF1"/>
    <mergeCell ref="UPG1:UPJ1"/>
    <mergeCell ref="UNO1:UNR1"/>
    <mergeCell ref="UNS1:UNV1"/>
    <mergeCell ref="UNW1:UNZ1"/>
    <mergeCell ref="UOA1:UOD1"/>
    <mergeCell ref="UOE1:UOH1"/>
    <mergeCell ref="UOI1:UOL1"/>
    <mergeCell ref="UMQ1:UMT1"/>
    <mergeCell ref="UMU1:UMX1"/>
    <mergeCell ref="UMY1:UNB1"/>
    <mergeCell ref="UNC1:UNF1"/>
    <mergeCell ref="UNG1:UNJ1"/>
    <mergeCell ref="UNK1:UNN1"/>
    <mergeCell ref="ULS1:ULV1"/>
    <mergeCell ref="ULW1:ULZ1"/>
    <mergeCell ref="UMA1:UMD1"/>
    <mergeCell ref="UME1:UMH1"/>
    <mergeCell ref="UMI1:UML1"/>
    <mergeCell ref="UMM1:UMP1"/>
    <mergeCell ref="UKU1:UKX1"/>
    <mergeCell ref="UKY1:ULB1"/>
    <mergeCell ref="ULC1:ULF1"/>
    <mergeCell ref="ULG1:ULJ1"/>
    <mergeCell ref="ULK1:ULN1"/>
    <mergeCell ref="ULO1:ULR1"/>
    <mergeCell ref="UJW1:UJZ1"/>
    <mergeCell ref="UKA1:UKD1"/>
    <mergeCell ref="UKE1:UKH1"/>
    <mergeCell ref="UKI1:UKL1"/>
    <mergeCell ref="UKM1:UKP1"/>
    <mergeCell ref="UKQ1:UKT1"/>
    <mergeCell ref="UIY1:UJB1"/>
    <mergeCell ref="UJC1:UJF1"/>
    <mergeCell ref="UJG1:UJJ1"/>
    <mergeCell ref="UJK1:UJN1"/>
    <mergeCell ref="UJO1:UJR1"/>
    <mergeCell ref="UJS1:UJV1"/>
    <mergeCell ref="UIA1:UID1"/>
    <mergeCell ref="UIE1:UIH1"/>
    <mergeCell ref="UII1:UIL1"/>
    <mergeCell ref="UIM1:UIP1"/>
    <mergeCell ref="UIQ1:UIT1"/>
    <mergeCell ref="UIU1:UIX1"/>
    <mergeCell ref="UHC1:UHF1"/>
    <mergeCell ref="UHG1:UHJ1"/>
    <mergeCell ref="UHK1:UHN1"/>
    <mergeCell ref="UHO1:UHR1"/>
    <mergeCell ref="UHS1:UHV1"/>
    <mergeCell ref="UHW1:UHZ1"/>
    <mergeCell ref="UGE1:UGH1"/>
    <mergeCell ref="UGI1:UGL1"/>
    <mergeCell ref="UGM1:UGP1"/>
    <mergeCell ref="UGQ1:UGT1"/>
    <mergeCell ref="UGU1:UGX1"/>
    <mergeCell ref="UGY1:UHB1"/>
    <mergeCell ref="UFG1:UFJ1"/>
    <mergeCell ref="UFK1:UFN1"/>
    <mergeCell ref="UFO1:UFR1"/>
    <mergeCell ref="UFS1:UFV1"/>
    <mergeCell ref="UFW1:UFZ1"/>
    <mergeCell ref="UGA1:UGD1"/>
    <mergeCell ref="UEI1:UEL1"/>
    <mergeCell ref="UEM1:UEP1"/>
    <mergeCell ref="UEQ1:UET1"/>
    <mergeCell ref="UEU1:UEX1"/>
    <mergeCell ref="UEY1:UFB1"/>
    <mergeCell ref="UFC1:UFF1"/>
    <mergeCell ref="UDK1:UDN1"/>
    <mergeCell ref="UDO1:UDR1"/>
    <mergeCell ref="UDS1:UDV1"/>
    <mergeCell ref="UDW1:UDZ1"/>
    <mergeCell ref="UEA1:UED1"/>
    <mergeCell ref="UEE1:UEH1"/>
    <mergeCell ref="UCM1:UCP1"/>
    <mergeCell ref="UCQ1:UCT1"/>
    <mergeCell ref="UCU1:UCX1"/>
    <mergeCell ref="UCY1:UDB1"/>
    <mergeCell ref="UDC1:UDF1"/>
    <mergeCell ref="UDG1:UDJ1"/>
    <mergeCell ref="UBO1:UBR1"/>
    <mergeCell ref="UBS1:UBV1"/>
    <mergeCell ref="UBW1:UBZ1"/>
    <mergeCell ref="UCA1:UCD1"/>
    <mergeCell ref="UCE1:UCH1"/>
    <mergeCell ref="UCI1:UCL1"/>
    <mergeCell ref="UAQ1:UAT1"/>
    <mergeCell ref="UAU1:UAX1"/>
    <mergeCell ref="UAY1:UBB1"/>
    <mergeCell ref="UBC1:UBF1"/>
    <mergeCell ref="UBG1:UBJ1"/>
    <mergeCell ref="UBK1:UBN1"/>
    <mergeCell ref="TZS1:TZV1"/>
    <mergeCell ref="TZW1:TZZ1"/>
    <mergeCell ref="UAA1:UAD1"/>
    <mergeCell ref="UAE1:UAH1"/>
    <mergeCell ref="UAI1:UAL1"/>
    <mergeCell ref="UAM1:UAP1"/>
    <mergeCell ref="TYU1:TYX1"/>
    <mergeCell ref="TYY1:TZB1"/>
    <mergeCell ref="TZC1:TZF1"/>
    <mergeCell ref="TZG1:TZJ1"/>
    <mergeCell ref="TZK1:TZN1"/>
    <mergeCell ref="TZO1:TZR1"/>
    <mergeCell ref="TXW1:TXZ1"/>
    <mergeCell ref="TYA1:TYD1"/>
    <mergeCell ref="TYE1:TYH1"/>
    <mergeCell ref="TYI1:TYL1"/>
    <mergeCell ref="TYM1:TYP1"/>
    <mergeCell ref="TYQ1:TYT1"/>
    <mergeCell ref="TWY1:TXB1"/>
    <mergeCell ref="TXC1:TXF1"/>
    <mergeCell ref="TXG1:TXJ1"/>
    <mergeCell ref="TXK1:TXN1"/>
    <mergeCell ref="TXO1:TXR1"/>
    <mergeCell ref="TXS1:TXV1"/>
    <mergeCell ref="TWA1:TWD1"/>
    <mergeCell ref="TWE1:TWH1"/>
    <mergeCell ref="TWI1:TWL1"/>
    <mergeCell ref="TWM1:TWP1"/>
    <mergeCell ref="TWQ1:TWT1"/>
    <mergeCell ref="TWU1:TWX1"/>
    <mergeCell ref="TVC1:TVF1"/>
    <mergeCell ref="TVG1:TVJ1"/>
    <mergeCell ref="TVK1:TVN1"/>
    <mergeCell ref="TVO1:TVR1"/>
    <mergeCell ref="TVS1:TVV1"/>
    <mergeCell ref="TVW1:TVZ1"/>
    <mergeCell ref="TUE1:TUH1"/>
    <mergeCell ref="TUI1:TUL1"/>
    <mergeCell ref="TUM1:TUP1"/>
    <mergeCell ref="TUQ1:TUT1"/>
    <mergeCell ref="TUU1:TUX1"/>
    <mergeCell ref="TUY1:TVB1"/>
    <mergeCell ref="TTG1:TTJ1"/>
    <mergeCell ref="TTK1:TTN1"/>
    <mergeCell ref="TTO1:TTR1"/>
    <mergeCell ref="TTS1:TTV1"/>
    <mergeCell ref="TTW1:TTZ1"/>
    <mergeCell ref="TUA1:TUD1"/>
    <mergeCell ref="TSI1:TSL1"/>
    <mergeCell ref="TSM1:TSP1"/>
    <mergeCell ref="TSQ1:TST1"/>
    <mergeCell ref="TSU1:TSX1"/>
    <mergeCell ref="TSY1:TTB1"/>
    <mergeCell ref="TTC1:TTF1"/>
    <mergeCell ref="TRK1:TRN1"/>
    <mergeCell ref="TRO1:TRR1"/>
    <mergeCell ref="TRS1:TRV1"/>
    <mergeCell ref="TRW1:TRZ1"/>
    <mergeCell ref="TSA1:TSD1"/>
    <mergeCell ref="TSE1:TSH1"/>
    <mergeCell ref="TQM1:TQP1"/>
    <mergeCell ref="TQQ1:TQT1"/>
    <mergeCell ref="TQU1:TQX1"/>
    <mergeCell ref="TQY1:TRB1"/>
    <mergeCell ref="TRC1:TRF1"/>
    <mergeCell ref="TRG1:TRJ1"/>
    <mergeCell ref="TPO1:TPR1"/>
    <mergeCell ref="TPS1:TPV1"/>
    <mergeCell ref="TPW1:TPZ1"/>
    <mergeCell ref="TQA1:TQD1"/>
    <mergeCell ref="TQE1:TQH1"/>
    <mergeCell ref="TQI1:TQL1"/>
    <mergeCell ref="TOQ1:TOT1"/>
    <mergeCell ref="TOU1:TOX1"/>
    <mergeCell ref="TOY1:TPB1"/>
    <mergeCell ref="TPC1:TPF1"/>
    <mergeCell ref="TPG1:TPJ1"/>
    <mergeCell ref="TPK1:TPN1"/>
    <mergeCell ref="TNS1:TNV1"/>
    <mergeCell ref="TNW1:TNZ1"/>
    <mergeCell ref="TOA1:TOD1"/>
    <mergeCell ref="TOE1:TOH1"/>
    <mergeCell ref="TOI1:TOL1"/>
    <mergeCell ref="TOM1:TOP1"/>
    <mergeCell ref="TMU1:TMX1"/>
    <mergeCell ref="TMY1:TNB1"/>
    <mergeCell ref="TNC1:TNF1"/>
    <mergeCell ref="TNG1:TNJ1"/>
    <mergeCell ref="TNK1:TNN1"/>
    <mergeCell ref="TNO1:TNR1"/>
    <mergeCell ref="TLW1:TLZ1"/>
    <mergeCell ref="TMA1:TMD1"/>
    <mergeCell ref="TME1:TMH1"/>
    <mergeCell ref="TMI1:TML1"/>
    <mergeCell ref="TMM1:TMP1"/>
    <mergeCell ref="TMQ1:TMT1"/>
    <mergeCell ref="TKY1:TLB1"/>
    <mergeCell ref="TLC1:TLF1"/>
    <mergeCell ref="TLG1:TLJ1"/>
    <mergeCell ref="TLK1:TLN1"/>
    <mergeCell ref="TLO1:TLR1"/>
    <mergeCell ref="TLS1:TLV1"/>
    <mergeCell ref="TKA1:TKD1"/>
    <mergeCell ref="TKE1:TKH1"/>
    <mergeCell ref="TKI1:TKL1"/>
    <mergeCell ref="TKM1:TKP1"/>
    <mergeCell ref="TKQ1:TKT1"/>
    <mergeCell ref="TKU1:TKX1"/>
    <mergeCell ref="TJC1:TJF1"/>
    <mergeCell ref="TJG1:TJJ1"/>
    <mergeCell ref="TJK1:TJN1"/>
    <mergeCell ref="TJO1:TJR1"/>
    <mergeCell ref="TJS1:TJV1"/>
    <mergeCell ref="TJW1:TJZ1"/>
    <mergeCell ref="TIE1:TIH1"/>
    <mergeCell ref="TII1:TIL1"/>
    <mergeCell ref="TIM1:TIP1"/>
    <mergeCell ref="TIQ1:TIT1"/>
    <mergeCell ref="TIU1:TIX1"/>
    <mergeCell ref="TIY1:TJB1"/>
    <mergeCell ref="THG1:THJ1"/>
    <mergeCell ref="THK1:THN1"/>
    <mergeCell ref="THO1:THR1"/>
    <mergeCell ref="THS1:THV1"/>
    <mergeCell ref="THW1:THZ1"/>
    <mergeCell ref="TIA1:TID1"/>
    <mergeCell ref="TGI1:TGL1"/>
    <mergeCell ref="TGM1:TGP1"/>
    <mergeCell ref="TGQ1:TGT1"/>
    <mergeCell ref="TGU1:TGX1"/>
    <mergeCell ref="TGY1:THB1"/>
    <mergeCell ref="THC1:THF1"/>
    <mergeCell ref="TFK1:TFN1"/>
    <mergeCell ref="TFO1:TFR1"/>
    <mergeCell ref="TFS1:TFV1"/>
    <mergeCell ref="TFW1:TFZ1"/>
    <mergeCell ref="TGA1:TGD1"/>
    <mergeCell ref="TGE1:TGH1"/>
    <mergeCell ref="TEM1:TEP1"/>
    <mergeCell ref="TEQ1:TET1"/>
    <mergeCell ref="TEU1:TEX1"/>
    <mergeCell ref="TEY1:TFB1"/>
    <mergeCell ref="TFC1:TFF1"/>
    <mergeCell ref="TFG1:TFJ1"/>
    <mergeCell ref="TDO1:TDR1"/>
    <mergeCell ref="TDS1:TDV1"/>
    <mergeCell ref="TDW1:TDZ1"/>
    <mergeCell ref="TEA1:TED1"/>
    <mergeCell ref="TEE1:TEH1"/>
    <mergeCell ref="TEI1:TEL1"/>
    <mergeCell ref="TCQ1:TCT1"/>
    <mergeCell ref="TCU1:TCX1"/>
    <mergeCell ref="TCY1:TDB1"/>
    <mergeCell ref="TDC1:TDF1"/>
    <mergeCell ref="TDG1:TDJ1"/>
    <mergeCell ref="TDK1:TDN1"/>
    <mergeCell ref="TBS1:TBV1"/>
    <mergeCell ref="TBW1:TBZ1"/>
    <mergeCell ref="TCA1:TCD1"/>
    <mergeCell ref="TCE1:TCH1"/>
    <mergeCell ref="TCI1:TCL1"/>
    <mergeCell ref="TCM1:TCP1"/>
    <mergeCell ref="TAU1:TAX1"/>
    <mergeCell ref="TAY1:TBB1"/>
    <mergeCell ref="TBC1:TBF1"/>
    <mergeCell ref="TBG1:TBJ1"/>
    <mergeCell ref="TBK1:TBN1"/>
    <mergeCell ref="TBO1:TBR1"/>
    <mergeCell ref="SZW1:SZZ1"/>
    <mergeCell ref="TAA1:TAD1"/>
    <mergeCell ref="TAE1:TAH1"/>
    <mergeCell ref="TAI1:TAL1"/>
    <mergeCell ref="TAM1:TAP1"/>
    <mergeCell ref="TAQ1:TAT1"/>
    <mergeCell ref="SYY1:SZB1"/>
    <mergeCell ref="SZC1:SZF1"/>
    <mergeCell ref="SZG1:SZJ1"/>
    <mergeCell ref="SZK1:SZN1"/>
    <mergeCell ref="SZO1:SZR1"/>
    <mergeCell ref="SZS1:SZV1"/>
    <mergeCell ref="SYA1:SYD1"/>
    <mergeCell ref="SYE1:SYH1"/>
    <mergeCell ref="SYI1:SYL1"/>
    <mergeCell ref="SYM1:SYP1"/>
    <mergeCell ref="SYQ1:SYT1"/>
    <mergeCell ref="SYU1:SYX1"/>
    <mergeCell ref="SXC1:SXF1"/>
    <mergeCell ref="SXG1:SXJ1"/>
    <mergeCell ref="SXK1:SXN1"/>
    <mergeCell ref="SXO1:SXR1"/>
    <mergeCell ref="SXS1:SXV1"/>
    <mergeCell ref="SXW1:SXZ1"/>
    <mergeCell ref="SWE1:SWH1"/>
    <mergeCell ref="SWI1:SWL1"/>
    <mergeCell ref="SWM1:SWP1"/>
    <mergeCell ref="SWQ1:SWT1"/>
    <mergeCell ref="SWU1:SWX1"/>
    <mergeCell ref="SWY1:SXB1"/>
    <mergeCell ref="SVG1:SVJ1"/>
    <mergeCell ref="SVK1:SVN1"/>
    <mergeCell ref="SVO1:SVR1"/>
    <mergeCell ref="SVS1:SVV1"/>
    <mergeCell ref="SVW1:SVZ1"/>
    <mergeCell ref="SWA1:SWD1"/>
    <mergeCell ref="SUI1:SUL1"/>
    <mergeCell ref="SUM1:SUP1"/>
    <mergeCell ref="SUQ1:SUT1"/>
    <mergeCell ref="SUU1:SUX1"/>
    <mergeCell ref="SUY1:SVB1"/>
    <mergeCell ref="SVC1:SVF1"/>
    <mergeCell ref="STK1:STN1"/>
    <mergeCell ref="STO1:STR1"/>
    <mergeCell ref="STS1:STV1"/>
    <mergeCell ref="STW1:STZ1"/>
    <mergeCell ref="SUA1:SUD1"/>
    <mergeCell ref="SUE1:SUH1"/>
    <mergeCell ref="SSM1:SSP1"/>
    <mergeCell ref="SSQ1:SST1"/>
    <mergeCell ref="SSU1:SSX1"/>
    <mergeCell ref="SSY1:STB1"/>
    <mergeCell ref="STC1:STF1"/>
    <mergeCell ref="STG1:STJ1"/>
    <mergeCell ref="SRO1:SRR1"/>
    <mergeCell ref="SRS1:SRV1"/>
    <mergeCell ref="SRW1:SRZ1"/>
    <mergeCell ref="SSA1:SSD1"/>
    <mergeCell ref="SSE1:SSH1"/>
    <mergeCell ref="SSI1:SSL1"/>
    <mergeCell ref="SQQ1:SQT1"/>
    <mergeCell ref="SQU1:SQX1"/>
    <mergeCell ref="SQY1:SRB1"/>
    <mergeCell ref="SRC1:SRF1"/>
    <mergeCell ref="SRG1:SRJ1"/>
    <mergeCell ref="SRK1:SRN1"/>
    <mergeCell ref="SPS1:SPV1"/>
    <mergeCell ref="SPW1:SPZ1"/>
    <mergeCell ref="SQA1:SQD1"/>
    <mergeCell ref="SQE1:SQH1"/>
    <mergeCell ref="SQI1:SQL1"/>
    <mergeCell ref="SQM1:SQP1"/>
    <mergeCell ref="SOU1:SOX1"/>
    <mergeCell ref="SOY1:SPB1"/>
    <mergeCell ref="SPC1:SPF1"/>
    <mergeCell ref="SPG1:SPJ1"/>
    <mergeCell ref="SPK1:SPN1"/>
    <mergeCell ref="SPO1:SPR1"/>
    <mergeCell ref="SNW1:SNZ1"/>
    <mergeCell ref="SOA1:SOD1"/>
    <mergeCell ref="SOE1:SOH1"/>
    <mergeCell ref="SOI1:SOL1"/>
    <mergeCell ref="SOM1:SOP1"/>
    <mergeCell ref="SOQ1:SOT1"/>
    <mergeCell ref="SMY1:SNB1"/>
    <mergeCell ref="SNC1:SNF1"/>
    <mergeCell ref="SNG1:SNJ1"/>
    <mergeCell ref="SNK1:SNN1"/>
    <mergeCell ref="SNO1:SNR1"/>
    <mergeCell ref="SNS1:SNV1"/>
    <mergeCell ref="SMA1:SMD1"/>
    <mergeCell ref="SME1:SMH1"/>
    <mergeCell ref="SMI1:SML1"/>
    <mergeCell ref="SMM1:SMP1"/>
    <mergeCell ref="SMQ1:SMT1"/>
    <mergeCell ref="SMU1:SMX1"/>
    <mergeCell ref="SLC1:SLF1"/>
    <mergeCell ref="SLG1:SLJ1"/>
    <mergeCell ref="SLK1:SLN1"/>
    <mergeCell ref="SLO1:SLR1"/>
    <mergeCell ref="SLS1:SLV1"/>
    <mergeCell ref="SLW1:SLZ1"/>
    <mergeCell ref="SKE1:SKH1"/>
    <mergeCell ref="SKI1:SKL1"/>
    <mergeCell ref="SKM1:SKP1"/>
    <mergeCell ref="SKQ1:SKT1"/>
    <mergeCell ref="SKU1:SKX1"/>
    <mergeCell ref="SKY1:SLB1"/>
    <mergeCell ref="SJG1:SJJ1"/>
    <mergeCell ref="SJK1:SJN1"/>
    <mergeCell ref="SJO1:SJR1"/>
    <mergeCell ref="SJS1:SJV1"/>
    <mergeCell ref="SJW1:SJZ1"/>
    <mergeCell ref="SKA1:SKD1"/>
    <mergeCell ref="SII1:SIL1"/>
    <mergeCell ref="SIM1:SIP1"/>
    <mergeCell ref="SIQ1:SIT1"/>
    <mergeCell ref="SIU1:SIX1"/>
    <mergeCell ref="SIY1:SJB1"/>
    <mergeCell ref="SJC1:SJF1"/>
    <mergeCell ref="SHK1:SHN1"/>
    <mergeCell ref="SHO1:SHR1"/>
    <mergeCell ref="SHS1:SHV1"/>
    <mergeCell ref="SHW1:SHZ1"/>
    <mergeCell ref="SIA1:SID1"/>
    <mergeCell ref="SIE1:SIH1"/>
    <mergeCell ref="SGM1:SGP1"/>
    <mergeCell ref="SGQ1:SGT1"/>
    <mergeCell ref="SGU1:SGX1"/>
    <mergeCell ref="SGY1:SHB1"/>
    <mergeCell ref="SHC1:SHF1"/>
    <mergeCell ref="SHG1:SHJ1"/>
    <mergeCell ref="SFO1:SFR1"/>
    <mergeCell ref="SFS1:SFV1"/>
    <mergeCell ref="SFW1:SFZ1"/>
    <mergeCell ref="SGA1:SGD1"/>
    <mergeCell ref="SGE1:SGH1"/>
    <mergeCell ref="SGI1:SGL1"/>
    <mergeCell ref="SEQ1:SET1"/>
    <mergeCell ref="SEU1:SEX1"/>
    <mergeCell ref="SEY1:SFB1"/>
    <mergeCell ref="SFC1:SFF1"/>
    <mergeCell ref="SFG1:SFJ1"/>
    <mergeCell ref="SFK1:SFN1"/>
    <mergeCell ref="SDS1:SDV1"/>
    <mergeCell ref="SDW1:SDZ1"/>
    <mergeCell ref="SEA1:SED1"/>
    <mergeCell ref="SEE1:SEH1"/>
    <mergeCell ref="SEI1:SEL1"/>
    <mergeCell ref="SEM1:SEP1"/>
    <mergeCell ref="SCU1:SCX1"/>
    <mergeCell ref="SCY1:SDB1"/>
    <mergeCell ref="SDC1:SDF1"/>
    <mergeCell ref="SDG1:SDJ1"/>
    <mergeCell ref="SDK1:SDN1"/>
    <mergeCell ref="SDO1:SDR1"/>
    <mergeCell ref="SBW1:SBZ1"/>
    <mergeCell ref="SCA1:SCD1"/>
    <mergeCell ref="SCE1:SCH1"/>
    <mergeCell ref="SCI1:SCL1"/>
    <mergeCell ref="SCM1:SCP1"/>
    <mergeCell ref="SCQ1:SCT1"/>
    <mergeCell ref="SAY1:SBB1"/>
    <mergeCell ref="SBC1:SBF1"/>
    <mergeCell ref="SBG1:SBJ1"/>
    <mergeCell ref="SBK1:SBN1"/>
    <mergeCell ref="SBO1:SBR1"/>
    <mergeCell ref="SBS1:SBV1"/>
    <mergeCell ref="SAA1:SAD1"/>
    <mergeCell ref="SAE1:SAH1"/>
    <mergeCell ref="SAI1:SAL1"/>
    <mergeCell ref="SAM1:SAP1"/>
    <mergeCell ref="SAQ1:SAT1"/>
    <mergeCell ref="SAU1:SAX1"/>
    <mergeCell ref="RZC1:RZF1"/>
    <mergeCell ref="RZG1:RZJ1"/>
    <mergeCell ref="RZK1:RZN1"/>
    <mergeCell ref="RZO1:RZR1"/>
    <mergeCell ref="RZS1:RZV1"/>
    <mergeCell ref="RZW1:RZZ1"/>
    <mergeCell ref="RYE1:RYH1"/>
    <mergeCell ref="RYI1:RYL1"/>
    <mergeCell ref="RYM1:RYP1"/>
    <mergeCell ref="RYQ1:RYT1"/>
    <mergeCell ref="RYU1:RYX1"/>
    <mergeCell ref="RYY1:RZB1"/>
    <mergeCell ref="RXG1:RXJ1"/>
    <mergeCell ref="RXK1:RXN1"/>
    <mergeCell ref="RXO1:RXR1"/>
    <mergeCell ref="RXS1:RXV1"/>
    <mergeCell ref="RXW1:RXZ1"/>
    <mergeCell ref="RYA1:RYD1"/>
    <mergeCell ref="RWI1:RWL1"/>
    <mergeCell ref="RWM1:RWP1"/>
    <mergeCell ref="RWQ1:RWT1"/>
    <mergeCell ref="RWU1:RWX1"/>
    <mergeCell ref="RWY1:RXB1"/>
    <mergeCell ref="RXC1:RXF1"/>
    <mergeCell ref="RVK1:RVN1"/>
    <mergeCell ref="RVO1:RVR1"/>
    <mergeCell ref="RVS1:RVV1"/>
    <mergeCell ref="RVW1:RVZ1"/>
    <mergeCell ref="RWA1:RWD1"/>
    <mergeCell ref="RWE1:RWH1"/>
    <mergeCell ref="RUM1:RUP1"/>
    <mergeCell ref="RUQ1:RUT1"/>
    <mergeCell ref="RUU1:RUX1"/>
    <mergeCell ref="RUY1:RVB1"/>
    <mergeCell ref="RVC1:RVF1"/>
    <mergeCell ref="RVG1:RVJ1"/>
    <mergeCell ref="RTO1:RTR1"/>
    <mergeCell ref="RTS1:RTV1"/>
    <mergeCell ref="RTW1:RTZ1"/>
    <mergeCell ref="RUA1:RUD1"/>
    <mergeCell ref="RUE1:RUH1"/>
    <mergeCell ref="RUI1:RUL1"/>
    <mergeCell ref="RSQ1:RST1"/>
    <mergeCell ref="RSU1:RSX1"/>
    <mergeCell ref="RSY1:RTB1"/>
    <mergeCell ref="RTC1:RTF1"/>
    <mergeCell ref="RTG1:RTJ1"/>
    <mergeCell ref="RTK1:RTN1"/>
    <mergeCell ref="RRS1:RRV1"/>
    <mergeCell ref="RRW1:RRZ1"/>
    <mergeCell ref="RSA1:RSD1"/>
    <mergeCell ref="RSE1:RSH1"/>
    <mergeCell ref="RSI1:RSL1"/>
    <mergeCell ref="RSM1:RSP1"/>
    <mergeCell ref="RQU1:RQX1"/>
    <mergeCell ref="RQY1:RRB1"/>
    <mergeCell ref="RRC1:RRF1"/>
    <mergeCell ref="RRG1:RRJ1"/>
    <mergeCell ref="RRK1:RRN1"/>
    <mergeCell ref="RRO1:RRR1"/>
    <mergeCell ref="RPW1:RPZ1"/>
    <mergeCell ref="RQA1:RQD1"/>
    <mergeCell ref="RQE1:RQH1"/>
    <mergeCell ref="RQI1:RQL1"/>
    <mergeCell ref="RQM1:RQP1"/>
    <mergeCell ref="RQQ1:RQT1"/>
    <mergeCell ref="ROY1:RPB1"/>
    <mergeCell ref="RPC1:RPF1"/>
    <mergeCell ref="RPG1:RPJ1"/>
    <mergeCell ref="RPK1:RPN1"/>
    <mergeCell ref="RPO1:RPR1"/>
    <mergeCell ref="RPS1:RPV1"/>
    <mergeCell ref="ROA1:ROD1"/>
    <mergeCell ref="ROE1:ROH1"/>
    <mergeCell ref="ROI1:ROL1"/>
    <mergeCell ref="ROM1:ROP1"/>
    <mergeCell ref="ROQ1:ROT1"/>
    <mergeCell ref="ROU1:ROX1"/>
    <mergeCell ref="RNC1:RNF1"/>
    <mergeCell ref="RNG1:RNJ1"/>
    <mergeCell ref="RNK1:RNN1"/>
    <mergeCell ref="RNO1:RNR1"/>
    <mergeCell ref="RNS1:RNV1"/>
    <mergeCell ref="RNW1:RNZ1"/>
    <mergeCell ref="RME1:RMH1"/>
    <mergeCell ref="RMI1:RML1"/>
    <mergeCell ref="RMM1:RMP1"/>
    <mergeCell ref="RMQ1:RMT1"/>
    <mergeCell ref="RMU1:RMX1"/>
    <mergeCell ref="RMY1:RNB1"/>
    <mergeCell ref="RLG1:RLJ1"/>
    <mergeCell ref="RLK1:RLN1"/>
    <mergeCell ref="RLO1:RLR1"/>
    <mergeCell ref="RLS1:RLV1"/>
    <mergeCell ref="RLW1:RLZ1"/>
    <mergeCell ref="RMA1:RMD1"/>
    <mergeCell ref="RKI1:RKL1"/>
    <mergeCell ref="RKM1:RKP1"/>
    <mergeCell ref="RKQ1:RKT1"/>
    <mergeCell ref="RKU1:RKX1"/>
    <mergeCell ref="RKY1:RLB1"/>
    <mergeCell ref="RLC1:RLF1"/>
    <mergeCell ref="RJK1:RJN1"/>
    <mergeCell ref="RJO1:RJR1"/>
    <mergeCell ref="RJS1:RJV1"/>
    <mergeCell ref="RJW1:RJZ1"/>
    <mergeCell ref="RKA1:RKD1"/>
    <mergeCell ref="RKE1:RKH1"/>
    <mergeCell ref="RIM1:RIP1"/>
    <mergeCell ref="RIQ1:RIT1"/>
    <mergeCell ref="RIU1:RIX1"/>
    <mergeCell ref="RIY1:RJB1"/>
    <mergeCell ref="RJC1:RJF1"/>
    <mergeCell ref="RJG1:RJJ1"/>
    <mergeCell ref="RHO1:RHR1"/>
    <mergeCell ref="RHS1:RHV1"/>
    <mergeCell ref="RHW1:RHZ1"/>
    <mergeCell ref="RIA1:RID1"/>
    <mergeCell ref="RIE1:RIH1"/>
    <mergeCell ref="RII1:RIL1"/>
    <mergeCell ref="RGQ1:RGT1"/>
    <mergeCell ref="RGU1:RGX1"/>
    <mergeCell ref="RGY1:RHB1"/>
    <mergeCell ref="RHC1:RHF1"/>
    <mergeCell ref="RHG1:RHJ1"/>
    <mergeCell ref="RHK1:RHN1"/>
    <mergeCell ref="RFS1:RFV1"/>
    <mergeCell ref="RFW1:RFZ1"/>
    <mergeCell ref="RGA1:RGD1"/>
    <mergeCell ref="RGE1:RGH1"/>
    <mergeCell ref="RGI1:RGL1"/>
    <mergeCell ref="RGM1:RGP1"/>
    <mergeCell ref="REU1:REX1"/>
    <mergeCell ref="REY1:RFB1"/>
    <mergeCell ref="RFC1:RFF1"/>
    <mergeCell ref="RFG1:RFJ1"/>
    <mergeCell ref="RFK1:RFN1"/>
    <mergeCell ref="RFO1:RFR1"/>
    <mergeCell ref="RDW1:RDZ1"/>
    <mergeCell ref="REA1:RED1"/>
    <mergeCell ref="REE1:REH1"/>
    <mergeCell ref="REI1:REL1"/>
    <mergeCell ref="REM1:REP1"/>
    <mergeCell ref="REQ1:RET1"/>
    <mergeCell ref="RCY1:RDB1"/>
    <mergeCell ref="RDC1:RDF1"/>
    <mergeCell ref="RDG1:RDJ1"/>
    <mergeCell ref="RDK1:RDN1"/>
    <mergeCell ref="RDO1:RDR1"/>
    <mergeCell ref="RDS1:RDV1"/>
    <mergeCell ref="RCA1:RCD1"/>
    <mergeCell ref="RCE1:RCH1"/>
    <mergeCell ref="RCI1:RCL1"/>
    <mergeCell ref="RCM1:RCP1"/>
    <mergeCell ref="RCQ1:RCT1"/>
    <mergeCell ref="RCU1:RCX1"/>
    <mergeCell ref="RBC1:RBF1"/>
    <mergeCell ref="RBG1:RBJ1"/>
    <mergeCell ref="RBK1:RBN1"/>
    <mergeCell ref="RBO1:RBR1"/>
    <mergeCell ref="RBS1:RBV1"/>
    <mergeCell ref="RBW1:RBZ1"/>
    <mergeCell ref="RAE1:RAH1"/>
    <mergeCell ref="RAI1:RAL1"/>
    <mergeCell ref="RAM1:RAP1"/>
    <mergeCell ref="RAQ1:RAT1"/>
    <mergeCell ref="RAU1:RAX1"/>
    <mergeCell ref="RAY1:RBB1"/>
    <mergeCell ref="QZG1:QZJ1"/>
    <mergeCell ref="QZK1:QZN1"/>
    <mergeCell ref="QZO1:QZR1"/>
    <mergeCell ref="QZS1:QZV1"/>
    <mergeCell ref="QZW1:QZZ1"/>
    <mergeCell ref="RAA1:RAD1"/>
    <mergeCell ref="QYI1:QYL1"/>
    <mergeCell ref="QYM1:QYP1"/>
    <mergeCell ref="QYQ1:QYT1"/>
    <mergeCell ref="QYU1:QYX1"/>
    <mergeCell ref="QYY1:QZB1"/>
    <mergeCell ref="QZC1:QZF1"/>
    <mergeCell ref="QXK1:QXN1"/>
    <mergeCell ref="QXO1:QXR1"/>
    <mergeCell ref="QXS1:QXV1"/>
    <mergeCell ref="QXW1:QXZ1"/>
    <mergeCell ref="QYA1:QYD1"/>
    <mergeCell ref="QYE1:QYH1"/>
    <mergeCell ref="QWM1:QWP1"/>
    <mergeCell ref="QWQ1:QWT1"/>
    <mergeCell ref="QWU1:QWX1"/>
    <mergeCell ref="QWY1:QXB1"/>
    <mergeCell ref="QXC1:QXF1"/>
    <mergeCell ref="QXG1:QXJ1"/>
    <mergeCell ref="QVO1:QVR1"/>
    <mergeCell ref="QVS1:QVV1"/>
    <mergeCell ref="QVW1:QVZ1"/>
    <mergeCell ref="QWA1:QWD1"/>
    <mergeCell ref="QWE1:QWH1"/>
    <mergeCell ref="QWI1:QWL1"/>
    <mergeCell ref="QUQ1:QUT1"/>
    <mergeCell ref="QUU1:QUX1"/>
    <mergeCell ref="QUY1:QVB1"/>
    <mergeCell ref="QVC1:QVF1"/>
    <mergeCell ref="QVG1:QVJ1"/>
    <mergeCell ref="QVK1:QVN1"/>
    <mergeCell ref="QTS1:QTV1"/>
    <mergeCell ref="QTW1:QTZ1"/>
    <mergeCell ref="QUA1:QUD1"/>
    <mergeCell ref="QUE1:QUH1"/>
    <mergeCell ref="QUI1:QUL1"/>
    <mergeCell ref="QUM1:QUP1"/>
    <mergeCell ref="QSU1:QSX1"/>
    <mergeCell ref="QSY1:QTB1"/>
    <mergeCell ref="QTC1:QTF1"/>
    <mergeCell ref="QTG1:QTJ1"/>
    <mergeCell ref="QTK1:QTN1"/>
    <mergeCell ref="QTO1:QTR1"/>
    <mergeCell ref="QRW1:QRZ1"/>
    <mergeCell ref="QSA1:QSD1"/>
    <mergeCell ref="QSE1:QSH1"/>
    <mergeCell ref="QSI1:QSL1"/>
    <mergeCell ref="QSM1:QSP1"/>
    <mergeCell ref="QSQ1:QST1"/>
    <mergeCell ref="QQY1:QRB1"/>
    <mergeCell ref="QRC1:QRF1"/>
    <mergeCell ref="QRG1:QRJ1"/>
    <mergeCell ref="QRK1:QRN1"/>
    <mergeCell ref="QRO1:QRR1"/>
    <mergeCell ref="QRS1:QRV1"/>
    <mergeCell ref="QQA1:QQD1"/>
    <mergeCell ref="QQE1:QQH1"/>
    <mergeCell ref="QQI1:QQL1"/>
    <mergeCell ref="QQM1:QQP1"/>
    <mergeCell ref="QQQ1:QQT1"/>
    <mergeCell ref="QQU1:QQX1"/>
    <mergeCell ref="QPC1:QPF1"/>
    <mergeCell ref="QPG1:QPJ1"/>
    <mergeCell ref="QPK1:QPN1"/>
    <mergeCell ref="QPO1:QPR1"/>
    <mergeCell ref="QPS1:QPV1"/>
    <mergeCell ref="QPW1:QPZ1"/>
    <mergeCell ref="QOE1:QOH1"/>
    <mergeCell ref="QOI1:QOL1"/>
    <mergeCell ref="QOM1:QOP1"/>
    <mergeCell ref="QOQ1:QOT1"/>
    <mergeCell ref="QOU1:QOX1"/>
    <mergeCell ref="QOY1:QPB1"/>
    <mergeCell ref="QNG1:QNJ1"/>
    <mergeCell ref="QNK1:QNN1"/>
    <mergeCell ref="QNO1:QNR1"/>
    <mergeCell ref="QNS1:QNV1"/>
    <mergeCell ref="QNW1:QNZ1"/>
    <mergeCell ref="QOA1:QOD1"/>
    <mergeCell ref="QMI1:QML1"/>
    <mergeCell ref="QMM1:QMP1"/>
    <mergeCell ref="QMQ1:QMT1"/>
    <mergeCell ref="QMU1:QMX1"/>
    <mergeCell ref="QMY1:QNB1"/>
    <mergeCell ref="QNC1:QNF1"/>
    <mergeCell ref="QLK1:QLN1"/>
    <mergeCell ref="QLO1:QLR1"/>
    <mergeCell ref="QLS1:QLV1"/>
    <mergeCell ref="QLW1:QLZ1"/>
    <mergeCell ref="QMA1:QMD1"/>
    <mergeCell ref="QME1:QMH1"/>
    <mergeCell ref="QKM1:QKP1"/>
    <mergeCell ref="QKQ1:QKT1"/>
    <mergeCell ref="QKU1:QKX1"/>
    <mergeCell ref="QKY1:QLB1"/>
    <mergeCell ref="QLC1:QLF1"/>
    <mergeCell ref="QLG1:QLJ1"/>
    <mergeCell ref="QJO1:QJR1"/>
    <mergeCell ref="QJS1:QJV1"/>
    <mergeCell ref="QJW1:QJZ1"/>
    <mergeCell ref="QKA1:QKD1"/>
    <mergeCell ref="QKE1:QKH1"/>
    <mergeCell ref="QKI1:QKL1"/>
    <mergeCell ref="QIQ1:QIT1"/>
    <mergeCell ref="QIU1:QIX1"/>
    <mergeCell ref="QIY1:QJB1"/>
    <mergeCell ref="QJC1:QJF1"/>
    <mergeCell ref="QJG1:QJJ1"/>
    <mergeCell ref="QJK1:QJN1"/>
    <mergeCell ref="QHS1:QHV1"/>
    <mergeCell ref="QHW1:QHZ1"/>
    <mergeCell ref="QIA1:QID1"/>
    <mergeCell ref="QIE1:QIH1"/>
    <mergeCell ref="QII1:QIL1"/>
    <mergeCell ref="QIM1:QIP1"/>
    <mergeCell ref="QGU1:QGX1"/>
    <mergeCell ref="QGY1:QHB1"/>
    <mergeCell ref="QHC1:QHF1"/>
    <mergeCell ref="QHG1:QHJ1"/>
    <mergeCell ref="QHK1:QHN1"/>
    <mergeCell ref="QHO1:QHR1"/>
    <mergeCell ref="QFW1:QFZ1"/>
    <mergeCell ref="QGA1:QGD1"/>
    <mergeCell ref="QGE1:QGH1"/>
    <mergeCell ref="QGI1:QGL1"/>
    <mergeCell ref="QGM1:QGP1"/>
    <mergeCell ref="QGQ1:QGT1"/>
    <mergeCell ref="QEY1:QFB1"/>
    <mergeCell ref="QFC1:QFF1"/>
    <mergeCell ref="QFG1:QFJ1"/>
    <mergeCell ref="QFK1:QFN1"/>
    <mergeCell ref="QFO1:QFR1"/>
    <mergeCell ref="QFS1:QFV1"/>
    <mergeCell ref="QEA1:QED1"/>
    <mergeCell ref="QEE1:QEH1"/>
    <mergeCell ref="QEI1:QEL1"/>
    <mergeCell ref="QEM1:QEP1"/>
    <mergeCell ref="QEQ1:QET1"/>
    <mergeCell ref="QEU1:QEX1"/>
    <mergeCell ref="QDC1:QDF1"/>
    <mergeCell ref="QDG1:QDJ1"/>
    <mergeCell ref="QDK1:QDN1"/>
    <mergeCell ref="QDO1:QDR1"/>
    <mergeCell ref="QDS1:QDV1"/>
    <mergeCell ref="QDW1:QDZ1"/>
    <mergeCell ref="QCE1:QCH1"/>
    <mergeCell ref="QCI1:QCL1"/>
    <mergeCell ref="QCM1:QCP1"/>
    <mergeCell ref="QCQ1:QCT1"/>
    <mergeCell ref="QCU1:QCX1"/>
    <mergeCell ref="QCY1:QDB1"/>
    <mergeCell ref="QBG1:QBJ1"/>
    <mergeCell ref="QBK1:QBN1"/>
    <mergeCell ref="QBO1:QBR1"/>
    <mergeCell ref="QBS1:QBV1"/>
    <mergeCell ref="QBW1:QBZ1"/>
    <mergeCell ref="QCA1:QCD1"/>
    <mergeCell ref="QAI1:QAL1"/>
    <mergeCell ref="QAM1:QAP1"/>
    <mergeCell ref="QAQ1:QAT1"/>
    <mergeCell ref="QAU1:QAX1"/>
    <mergeCell ref="QAY1:QBB1"/>
    <mergeCell ref="QBC1:QBF1"/>
    <mergeCell ref="PZK1:PZN1"/>
    <mergeCell ref="PZO1:PZR1"/>
    <mergeCell ref="PZS1:PZV1"/>
    <mergeCell ref="PZW1:PZZ1"/>
    <mergeCell ref="QAA1:QAD1"/>
    <mergeCell ref="QAE1:QAH1"/>
    <mergeCell ref="PYM1:PYP1"/>
    <mergeCell ref="PYQ1:PYT1"/>
    <mergeCell ref="PYU1:PYX1"/>
    <mergeCell ref="PYY1:PZB1"/>
    <mergeCell ref="PZC1:PZF1"/>
    <mergeCell ref="PZG1:PZJ1"/>
    <mergeCell ref="PXO1:PXR1"/>
    <mergeCell ref="PXS1:PXV1"/>
    <mergeCell ref="PXW1:PXZ1"/>
    <mergeCell ref="PYA1:PYD1"/>
    <mergeCell ref="PYE1:PYH1"/>
    <mergeCell ref="PYI1:PYL1"/>
    <mergeCell ref="PWQ1:PWT1"/>
    <mergeCell ref="PWU1:PWX1"/>
    <mergeCell ref="PWY1:PXB1"/>
    <mergeCell ref="PXC1:PXF1"/>
    <mergeCell ref="PXG1:PXJ1"/>
    <mergeCell ref="PXK1:PXN1"/>
    <mergeCell ref="PVS1:PVV1"/>
    <mergeCell ref="PVW1:PVZ1"/>
    <mergeCell ref="PWA1:PWD1"/>
    <mergeCell ref="PWE1:PWH1"/>
    <mergeCell ref="PWI1:PWL1"/>
    <mergeCell ref="PWM1:PWP1"/>
    <mergeCell ref="PUU1:PUX1"/>
    <mergeCell ref="PUY1:PVB1"/>
    <mergeCell ref="PVC1:PVF1"/>
    <mergeCell ref="PVG1:PVJ1"/>
    <mergeCell ref="PVK1:PVN1"/>
    <mergeCell ref="PVO1:PVR1"/>
    <mergeCell ref="PTW1:PTZ1"/>
    <mergeCell ref="PUA1:PUD1"/>
    <mergeCell ref="PUE1:PUH1"/>
    <mergeCell ref="PUI1:PUL1"/>
    <mergeCell ref="PUM1:PUP1"/>
    <mergeCell ref="PUQ1:PUT1"/>
    <mergeCell ref="PSY1:PTB1"/>
    <mergeCell ref="PTC1:PTF1"/>
    <mergeCell ref="PTG1:PTJ1"/>
    <mergeCell ref="PTK1:PTN1"/>
    <mergeCell ref="PTO1:PTR1"/>
    <mergeCell ref="PTS1:PTV1"/>
    <mergeCell ref="PSA1:PSD1"/>
    <mergeCell ref="PSE1:PSH1"/>
    <mergeCell ref="PSI1:PSL1"/>
    <mergeCell ref="PSM1:PSP1"/>
    <mergeCell ref="PSQ1:PST1"/>
    <mergeCell ref="PSU1:PSX1"/>
    <mergeCell ref="PRC1:PRF1"/>
    <mergeCell ref="PRG1:PRJ1"/>
    <mergeCell ref="PRK1:PRN1"/>
    <mergeCell ref="PRO1:PRR1"/>
    <mergeCell ref="PRS1:PRV1"/>
    <mergeCell ref="PRW1:PRZ1"/>
    <mergeCell ref="PQE1:PQH1"/>
    <mergeCell ref="PQI1:PQL1"/>
    <mergeCell ref="PQM1:PQP1"/>
    <mergeCell ref="PQQ1:PQT1"/>
    <mergeCell ref="PQU1:PQX1"/>
    <mergeCell ref="PQY1:PRB1"/>
    <mergeCell ref="PPG1:PPJ1"/>
    <mergeCell ref="PPK1:PPN1"/>
    <mergeCell ref="PPO1:PPR1"/>
    <mergeCell ref="PPS1:PPV1"/>
    <mergeCell ref="PPW1:PPZ1"/>
    <mergeCell ref="PQA1:PQD1"/>
    <mergeCell ref="POI1:POL1"/>
    <mergeCell ref="POM1:POP1"/>
    <mergeCell ref="POQ1:POT1"/>
    <mergeCell ref="POU1:POX1"/>
    <mergeCell ref="POY1:PPB1"/>
    <mergeCell ref="PPC1:PPF1"/>
    <mergeCell ref="PNK1:PNN1"/>
    <mergeCell ref="PNO1:PNR1"/>
    <mergeCell ref="PNS1:PNV1"/>
    <mergeCell ref="PNW1:PNZ1"/>
    <mergeCell ref="POA1:POD1"/>
    <mergeCell ref="POE1:POH1"/>
    <mergeCell ref="PMM1:PMP1"/>
    <mergeCell ref="PMQ1:PMT1"/>
    <mergeCell ref="PMU1:PMX1"/>
    <mergeCell ref="PMY1:PNB1"/>
    <mergeCell ref="PNC1:PNF1"/>
    <mergeCell ref="PNG1:PNJ1"/>
    <mergeCell ref="PLO1:PLR1"/>
    <mergeCell ref="PLS1:PLV1"/>
    <mergeCell ref="PLW1:PLZ1"/>
    <mergeCell ref="PMA1:PMD1"/>
    <mergeCell ref="PME1:PMH1"/>
    <mergeCell ref="PMI1:PML1"/>
    <mergeCell ref="PKQ1:PKT1"/>
    <mergeCell ref="PKU1:PKX1"/>
    <mergeCell ref="PKY1:PLB1"/>
    <mergeCell ref="PLC1:PLF1"/>
    <mergeCell ref="PLG1:PLJ1"/>
    <mergeCell ref="PLK1:PLN1"/>
    <mergeCell ref="PJS1:PJV1"/>
    <mergeCell ref="PJW1:PJZ1"/>
    <mergeCell ref="PKA1:PKD1"/>
    <mergeCell ref="PKE1:PKH1"/>
    <mergeCell ref="PKI1:PKL1"/>
    <mergeCell ref="PKM1:PKP1"/>
    <mergeCell ref="PIU1:PIX1"/>
    <mergeCell ref="PIY1:PJB1"/>
    <mergeCell ref="PJC1:PJF1"/>
    <mergeCell ref="PJG1:PJJ1"/>
    <mergeCell ref="PJK1:PJN1"/>
    <mergeCell ref="PJO1:PJR1"/>
    <mergeCell ref="PHW1:PHZ1"/>
    <mergeCell ref="PIA1:PID1"/>
    <mergeCell ref="PIE1:PIH1"/>
    <mergeCell ref="PII1:PIL1"/>
    <mergeCell ref="PIM1:PIP1"/>
    <mergeCell ref="PIQ1:PIT1"/>
    <mergeCell ref="PGY1:PHB1"/>
    <mergeCell ref="PHC1:PHF1"/>
    <mergeCell ref="PHG1:PHJ1"/>
    <mergeCell ref="PHK1:PHN1"/>
    <mergeCell ref="PHO1:PHR1"/>
    <mergeCell ref="PHS1:PHV1"/>
    <mergeCell ref="PGA1:PGD1"/>
    <mergeCell ref="PGE1:PGH1"/>
    <mergeCell ref="PGI1:PGL1"/>
    <mergeCell ref="PGM1:PGP1"/>
    <mergeCell ref="PGQ1:PGT1"/>
    <mergeCell ref="PGU1:PGX1"/>
    <mergeCell ref="PFC1:PFF1"/>
    <mergeCell ref="PFG1:PFJ1"/>
    <mergeCell ref="PFK1:PFN1"/>
    <mergeCell ref="PFO1:PFR1"/>
    <mergeCell ref="PFS1:PFV1"/>
    <mergeCell ref="PFW1:PFZ1"/>
    <mergeCell ref="PEE1:PEH1"/>
    <mergeCell ref="PEI1:PEL1"/>
    <mergeCell ref="PEM1:PEP1"/>
    <mergeCell ref="PEQ1:PET1"/>
    <mergeCell ref="PEU1:PEX1"/>
    <mergeCell ref="PEY1:PFB1"/>
    <mergeCell ref="PDG1:PDJ1"/>
    <mergeCell ref="PDK1:PDN1"/>
    <mergeCell ref="PDO1:PDR1"/>
    <mergeCell ref="PDS1:PDV1"/>
    <mergeCell ref="PDW1:PDZ1"/>
    <mergeCell ref="PEA1:PED1"/>
    <mergeCell ref="PCI1:PCL1"/>
    <mergeCell ref="PCM1:PCP1"/>
    <mergeCell ref="PCQ1:PCT1"/>
    <mergeCell ref="PCU1:PCX1"/>
    <mergeCell ref="PCY1:PDB1"/>
    <mergeCell ref="PDC1:PDF1"/>
    <mergeCell ref="PBK1:PBN1"/>
    <mergeCell ref="PBO1:PBR1"/>
    <mergeCell ref="PBS1:PBV1"/>
    <mergeCell ref="PBW1:PBZ1"/>
    <mergeCell ref="PCA1:PCD1"/>
    <mergeCell ref="PCE1:PCH1"/>
    <mergeCell ref="PAM1:PAP1"/>
    <mergeCell ref="PAQ1:PAT1"/>
    <mergeCell ref="PAU1:PAX1"/>
    <mergeCell ref="PAY1:PBB1"/>
    <mergeCell ref="PBC1:PBF1"/>
    <mergeCell ref="PBG1:PBJ1"/>
    <mergeCell ref="OZO1:OZR1"/>
    <mergeCell ref="OZS1:OZV1"/>
    <mergeCell ref="OZW1:OZZ1"/>
    <mergeCell ref="PAA1:PAD1"/>
    <mergeCell ref="PAE1:PAH1"/>
    <mergeCell ref="PAI1:PAL1"/>
    <mergeCell ref="OYQ1:OYT1"/>
    <mergeCell ref="OYU1:OYX1"/>
    <mergeCell ref="OYY1:OZB1"/>
    <mergeCell ref="OZC1:OZF1"/>
    <mergeCell ref="OZG1:OZJ1"/>
    <mergeCell ref="OZK1:OZN1"/>
    <mergeCell ref="OXS1:OXV1"/>
    <mergeCell ref="OXW1:OXZ1"/>
    <mergeCell ref="OYA1:OYD1"/>
    <mergeCell ref="OYE1:OYH1"/>
    <mergeCell ref="OYI1:OYL1"/>
    <mergeCell ref="OYM1:OYP1"/>
    <mergeCell ref="OWU1:OWX1"/>
    <mergeCell ref="OWY1:OXB1"/>
    <mergeCell ref="OXC1:OXF1"/>
    <mergeCell ref="OXG1:OXJ1"/>
    <mergeCell ref="OXK1:OXN1"/>
    <mergeCell ref="OXO1:OXR1"/>
    <mergeCell ref="OVW1:OVZ1"/>
    <mergeCell ref="OWA1:OWD1"/>
    <mergeCell ref="OWE1:OWH1"/>
    <mergeCell ref="OWI1:OWL1"/>
    <mergeCell ref="OWM1:OWP1"/>
    <mergeCell ref="OWQ1:OWT1"/>
    <mergeCell ref="OUY1:OVB1"/>
    <mergeCell ref="OVC1:OVF1"/>
    <mergeCell ref="OVG1:OVJ1"/>
    <mergeCell ref="OVK1:OVN1"/>
    <mergeCell ref="OVO1:OVR1"/>
    <mergeCell ref="OVS1:OVV1"/>
    <mergeCell ref="OUA1:OUD1"/>
    <mergeCell ref="OUE1:OUH1"/>
    <mergeCell ref="OUI1:OUL1"/>
    <mergeCell ref="OUM1:OUP1"/>
    <mergeCell ref="OUQ1:OUT1"/>
    <mergeCell ref="OUU1:OUX1"/>
    <mergeCell ref="OTC1:OTF1"/>
    <mergeCell ref="OTG1:OTJ1"/>
    <mergeCell ref="OTK1:OTN1"/>
    <mergeCell ref="OTO1:OTR1"/>
    <mergeCell ref="OTS1:OTV1"/>
    <mergeCell ref="OTW1:OTZ1"/>
    <mergeCell ref="OSE1:OSH1"/>
    <mergeCell ref="OSI1:OSL1"/>
    <mergeCell ref="OSM1:OSP1"/>
    <mergeCell ref="OSQ1:OST1"/>
    <mergeCell ref="OSU1:OSX1"/>
    <mergeCell ref="OSY1:OTB1"/>
    <mergeCell ref="ORG1:ORJ1"/>
    <mergeCell ref="ORK1:ORN1"/>
    <mergeCell ref="ORO1:ORR1"/>
    <mergeCell ref="ORS1:ORV1"/>
    <mergeCell ref="ORW1:ORZ1"/>
    <mergeCell ref="OSA1:OSD1"/>
    <mergeCell ref="OQI1:OQL1"/>
    <mergeCell ref="OQM1:OQP1"/>
    <mergeCell ref="OQQ1:OQT1"/>
    <mergeCell ref="OQU1:OQX1"/>
    <mergeCell ref="OQY1:ORB1"/>
    <mergeCell ref="ORC1:ORF1"/>
    <mergeCell ref="OPK1:OPN1"/>
    <mergeCell ref="OPO1:OPR1"/>
    <mergeCell ref="OPS1:OPV1"/>
    <mergeCell ref="OPW1:OPZ1"/>
    <mergeCell ref="OQA1:OQD1"/>
    <mergeCell ref="OQE1:OQH1"/>
    <mergeCell ref="OOM1:OOP1"/>
    <mergeCell ref="OOQ1:OOT1"/>
    <mergeCell ref="OOU1:OOX1"/>
    <mergeCell ref="OOY1:OPB1"/>
    <mergeCell ref="OPC1:OPF1"/>
    <mergeCell ref="OPG1:OPJ1"/>
    <mergeCell ref="ONO1:ONR1"/>
    <mergeCell ref="ONS1:ONV1"/>
    <mergeCell ref="ONW1:ONZ1"/>
    <mergeCell ref="OOA1:OOD1"/>
    <mergeCell ref="OOE1:OOH1"/>
    <mergeCell ref="OOI1:OOL1"/>
    <mergeCell ref="OMQ1:OMT1"/>
    <mergeCell ref="OMU1:OMX1"/>
    <mergeCell ref="OMY1:ONB1"/>
    <mergeCell ref="ONC1:ONF1"/>
    <mergeCell ref="ONG1:ONJ1"/>
    <mergeCell ref="ONK1:ONN1"/>
    <mergeCell ref="OLS1:OLV1"/>
    <mergeCell ref="OLW1:OLZ1"/>
    <mergeCell ref="OMA1:OMD1"/>
    <mergeCell ref="OME1:OMH1"/>
    <mergeCell ref="OMI1:OML1"/>
    <mergeCell ref="OMM1:OMP1"/>
    <mergeCell ref="OKU1:OKX1"/>
    <mergeCell ref="OKY1:OLB1"/>
    <mergeCell ref="OLC1:OLF1"/>
    <mergeCell ref="OLG1:OLJ1"/>
    <mergeCell ref="OLK1:OLN1"/>
    <mergeCell ref="OLO1:OLR1"/>
    <mergeCell ref="OJW1:OJZ1"/>
    <mergeCell ref="OKA1:OKD1"/>
    <mergeCell ref="OKE1:OKH1"/>
    <mergeCell ref="OKI1:OKL1"/>
    <mergeCell ref="OKM1:OKP1"/>
    <mergeCell ref="OKQ1:OKT1"/>
    <mergeCell ref="OIY1:OJB1"/>
    <mergeCell ref="OJC1:OJF1"/>
    <mergeCell ref="OJG1:OJJ1"/>
    <mergeCell ref="OJK1:OJN1"/>
    <mergeCell ref="OJO1:OJR1"/>
    <mergeCell ref="OJS1:OJV1"/>
    <mergeCell ref="OIA1:OID1"/>
    <mergeCell ref="OIE1:OIH1"/>
    <mergeCell ref="OII1:OIL1"/>
    <mergeCell ref="OIM1:OIP1"/>
    <mergeCell ref="OIQ1:OIT1"/>
    <mergeCell ref="OIU1:OIX1"/>
    <mergeCell ref="OHC1:OHF1"/>
    <mergeCell ref="OHG1:OHJ1"/>
    <mergeCell ref="OHK1:OHN1"/>
    <mergeCell ref="OHO1:OHR1"/>
    <mergeCell ref="OHS1:OHV1"/>
    <mergeCell ref="OHW1:OHZ1"/>
    <mergeCell ref="OGE1:OGH1"/>
    <mergeCell ref="OGI1:OGL1"/>
    <mergeCell ref="OGM1:OGP1"/>
    <mergeCell ref="OGQ1:OGT1"/>
    <mergeCell ref="OGU1:OGX1"/>
    <mergeCell ref="OGY1:OHB1"/>
    <mergeCell ref="OFG1:OFJ1"/>
    <mergeCell ref="OFK1:OFN1"/>
    <mergeCell ref="OFO1:OFR1"/>
    <mergeCell ref="OFS1:OFV1"/>
    <mergeCell ref="OFW1:OFZ1"/>
    <mergeCell ref="OGA1:OGD1"/>
    <mergeCell ref="OEI1:OEL1"/>
    <mergeCell ref="OEM1:OEP1"/>
    <mergeCell ref="OEQ1:OET1"/>
    <mergeCell ref="OEU1:OEX1"/>
    <mergeCell ref="OEY1:OFB1"/>
    <mergeCell ref="OFC1:OFF1"/>
    <mergeCell ref="ODK1:ODN1"/>
    <mergeCell ref="ODO1:ODR1"/>
    <mergeCell ref="ODS1:ODV1"/>
    <mergeCell ref="ODW1:ODZ1"/>
    <mergeCell ref="OEA1:OED1"/>
    <mergeCell ref="OEE1:OEH1"/>
    <mergeCell ref="OCM1:OCP1"/>
    <mergeCell ref="OCQ1:OCT1"/>
    <mergeCell ref="OCU1:OCX1"/>
    <mergeCell ref="OCY1:ODB1"/>
    <mergeCell ref="ODC1:ODF1"/>
    <mergeCell ref="ODG1:ODJ1"/>
    <mergeCell ref="OBO1:OBR1"/>
    <mergeCell ref="OBS1:OBV1"/>
    <mergeCell ref="OBW1:OBZ1"/>
    <mergeCell ref="OCA1:OCD1"/>
    <mergeCell ref="OCE1:OCH1"/>
    <mergeCell ref="OCI1:OCL1"/>
    <mergeCell ref="OAQ1:OAT1"/>
    <mergeCell ref="OAU1:OAX1"/>
    <mergeCell ref="OAY1:OBB1"/>
    <mergeCell ref="OBC1:OBF1"/>
    <mergeCell ref="OBG1:OBJ1"/>
    <mergeCell ref="OBK1:OBN1"/>
    <mergeCell ref="NZS1:NZV1"/>
    <mergeCell ref="NZW1:NZZ1"/>
    <mergeCell ref="OAA1:OAD1"/>
    <mergeCell ref="OAE1:OAH1"/>
    <mergeCell ref="OAI1:OAL1"/>
    <mergeCell ref="OAM1:OAP1"/>
    <mergeCell ref="NYU1:NYX1"/>
    <mergeCell ref="NYY1:NZB1"/>
    <mergeCell ref="NZC1:NZF1"/>
    <mergeCell ref="NZG1:NZJ1"/>
    <mergeCell ref="NZK1:NZN1"/>
    <mergeCell ref="NZO1:NZR1"/>
    <mergeCell ref="NXW1:NXZ1"/>
    <mergeCell ref="NYA1:NYD1"/>
    <mergeCell ref="NYE1:NYH1"/>
    <mergeCell ref="NYI1:NYL1"/>
    <mergeCell ref="NYM1:NYP1"/>
    <mergeCell ref="NYQ1:NYT1"/>
    <mergeCell ref="NWY1:NXB1"/>
    <mergeCell ref="NXC1:NXF1"/>
    <mergeCell ref="NXG1:NXJ1"/>
    <mergeCell ref="NXK1:NXN1"/>
    <mergeCell ref="NXO1:NXR1"/>
    <mergeCell ref="NXS1:NXV1"/>
    <mergeCell ref="NWA1:NWD1"/>
    <mergeCell ref="NWE1:NWH1"/>
    <mergeCell ref="NWI1:NWL1"/>
    <mergeCell ref="NWM1:NWP1"/>
    <mergeCell ref="NWQ1:NWT1"/>
    <mergeCell ref="NWU1:NWX1"/>
    <mergeCell ref="NVC1:NVF1"/>
    <mergeCell ref="NVG1:NVJ1"/>
    <mergeCell ref="NVK1:NVN1"/>
    <mergeCell ref="NVO1:NVR1"/>
    <mergeCell ref="NVS1:NVV1"/>
    <mergeCell ref="NVW1:NVZ1"/>
    <mergeCell ref="NUE1:NUH1"/>
    <mergeCell ref="NUI1:NUL1"/>
    <mergeCell ref="NUM1:NUP1"/>
    <mergeCell ref="NUQ1:NUT1"/>
    <mergeCell ref="NUU1:NUX1"/>
    <mergeCell ref="NUY1:NVB1"/>
    <mergeCell ref="NTG1:NTJ1"/>
    <mergeCell ref="NTK1:NTN1"/>
    <mergeCell ref="NTO1:NTR1"/>
    <mergeCell ref="NTS1:NTV1"/>
    <mergeCell ref="NTW1:NTZ1"/>
    <mergeCell ref="NUA1:NUD1"/>
    <mergeCell ref="NSI1:NSL1"/>
    <mergeCell ref="NSM1:NSP1"/>
    <mergeCell ref="NSQ1:NST1"/>
    <mergeCell ref="NSU1:NSX1"/>
    <mergeCell ref="NSY1:NTB1"/>
    <mergeCell ref="NTC1:NTF1"/>
    <mergeCell ref="NRK1:NRN1"/>
    <mergeCell ref="NRO1:NRR1"/>
    <mergeCell ref="NRS1:NRV1"/>
    <mergeCell ref="NRW1:NRZ1"/>
    <mergeCell ref="NSA1:NSD1"/>
    <mergeCell ref="NSE1:NSH1"/>
    <mergeCell ref="NQM1:NQP1"/>
    <mergeCell ref="NQQ1:NQT1"/>
    <mergeCell ref="NQU1:NQX1"/>
    <mergeCell ref="NQY1:NRB1"/>
    <mergeCell ref="NRC1:NRF1"/>
    <mergeCell ref="NRG1:NRJ1"/>
    <mergeCell ref="NPO1:NPR1"/>
    <mergeCell ref="NPS1:NPV1"/>
    <mergeCell ref="NPW1:NPZ1"/>
    <mergeCell ref="NQA1:NQD1"/>
    <mergeCell ref="NQE1:NQH1"/>
    <mergeCell ref="NQI1:NQL1"/>
    <mergeCell ref="NOQ1:NOT1"/>
    <mergeCell ref="NOU1:NOX1"/>
    <mergeCell ref="NOY1:NPB1"/>
    <mergeCell ref="NPC1:NPF1"/>
    <mergeCell ref="NPG1:NPJ1"/>
    <mergeCell ref="NPK1:NPN1"/>
    <mergeCell ref="NNS1:NNV1"/>
    <mergeCell ref="NNW1:NNZ1"/>
    <mergeCell ref="NOA1:NOD1"/>
    <mergeCell ref="NOE1:NOH1"/>
    <mergeCell ref="NOI1:NOL1"/>
    <mergeCell ref="NOM1:NOP1"/>
    <mergeCell ref="NMU1:NMX1"/>
    <mergeCell ref="NMY1:NNB1"/>
    <mergeCell ref="NNC1:NNF1"/>
    <mergeCell ref="NNG1:NNJ1"/>
    <mergeCell ref="NNK1:NNN1"/>
    <mergeCell ref="NNO1:NNR1"/>
    <mergeCell ref="NLW1:NLZ1"/>
    <mergeCell ref="NMA1:NMD1"/>
    <mergeCell ref="NME1:NMH1"/>
    <mergeCell ref="NMI1:NML1"/>
    <mergeCell ref="NMM1:NMP1"/>
    <mergeCell ref="NMQ1:NMT1"/>
    <mergeCell ref="NKY1:NLB1"/>
    <mergeCell ref="NLC1:NLF1"/>
    <mergeCell ref="NLG1:NLJ1"/>
    <mergeCell ref="NLK1:NLN1"/>
    <mergeCell ref="NLO1:NLR1"/>
    <mergeCell ref="NLS1:NLV1"/>
    <mergeCell ref="NKA1:NKD1"/>
    <mergeCell ref="NKE1:NKH1"/>
    <mergeCell ref="NKI1:NKL1"/>
    <mergeCell ref="NKM1:NKP1"/>
    <mergeCell ref="NKQ1:NKT1"/>
    <mergeCell ref="NKU1:NKX1"/>
    <mergeCell ref="NJC1:NJF1"/>
    <mergeCell ref="NJG1:NJJ1"/>
    <mergeCell ref="NJK1:NJN1"/>
    <mergeCell ref="NJO1:NJR1"/>
    <mergeCell ref="NJS1:NJV1"/>
    <mergeCell ref="NJW1:NJZ1"/>
    <mergeCell ref="NIE1:NIH1"/>
    <mergeCell ref="NII1:NIL1"/>
    <mergeCell ref="NIM1:NIP1"/>
    <mergeCell ref="NIQ1:NIT1"/>
    <mergeCell ref="NIU1:NIX1"/>
    <mergeCell ref="NIY1:NJB1"/>
    <mergeCell ref="NHG1:NHJ1"/>
    <mergeCell ref="NHK1:NHN1"/>
    <mergeCell ref="NHO1:NHR1"/>
    <mergeCell ref="NHS1:NHV1"/>
    <mergeCell ref="NHW1:NHZ1"/>
    <mergeCell ref="NIA1:NID1"/>
    <mergeCell ref="NGI1:NGL1"/>
    <mergeCell ref="NGM1:NGP1"/>
    <mergeCell ref="NGQ1:NGT1"/>
    <mergeCell ref="NGU1:NGX1"/>
    <mergeCell ref="NGY1:NHB1"/>
    <mergeCell ref="NHC1:NHF1"/>
    <mergeCell ref="NFK1:NFN1"/>
    <mergeCell ref="NFO1:NFR1"/>
    <mergeCell ref="NFS1:NFV1"/>
    <mergeCell ref="NFW1:NFZ1"/>
    <mergeCell ref="NGA1:NGD1"/>
    <mergeCell ref="NGE1:NGH1"/>
    <mergeCell ref="NEM1:NEP1"/>
    <mergeCell ref="NEQ1:NET1"/>
    <mergeCell ref="NEU1:NEX1"/>
    <mergeCell ref="NEY1:NFB1"/>
    <mergeCell ref="NFC1:NFF1"/>
    <mergeCell ref="NFG1:NFJ1"/>
    <mergeCell ref="NDO1:NDR1"/>
    <mergeCell ref="NDS1:NDV1"/>
    <mergeCell ref="NDW1:NDZ1"/>
    <mergeCell ref="NEA1:NED1"/>
    <mergeCell ref="NEE1:NEH1"/>
    <mergeCell ref="NEI1:NEL1"/>
    <mergeCell ref="NCQ1:NCT1"/>
    <mergeCell ref="NCU1:NCX1"/>
    <mergeCell ref="NCY1:NDB1"/>
    <mergeCell ref="NDC1:NDF1"/>
    <mergeCell ref="NDG1:NDJ1"/>
    <mergeCell ref="NDK1:NDN1"/>
    <mergeCell ref="NBS1:NBV1"/>
    <mergeCell ref="NBW1:NBZ1"/>
    <mergeCell ref="NCA1:NCD1"/>
    <mergeCell ref="NCE1:NCH1"/>
    <mergeCell ref="NCI1:NCL1"/>
    <mergeCell ref="NCM1:NCP1"/>
    <mergeCell ref="NAU1:NAX1"/>
    <mergeCell ref="NAY1:NBB1"/>
    <mergeCell ref="NBC1:NBF1"/>
    <mergeCell ref="NBG1:NBJ1"/>
    <mergeCell ref="NBK1:NBN1"/>
    <mergeCell ref="NBO1:NBR1"/>
    <mergeCell ref="MZW1:MZZ1"/>
    <mergeCell ref="NAA1:NAD1"/>
    <mergeCell ref="NAE1:NAH1"/>
    <mergeCell ref="NAI1:NAL1"/>
    <mergeCell ref="NAM1:NAP1"/>
    <mergeCell ref="NAQ1:NAT1"/>
    <mergeCell ref="MYY1:MZB1"/>
    <mergeCell ref="MZC1:MZF1"/>
    <mergeCell ref="MZG1:MZJ1"/>
    <mergeCell ref="MZK1:MZN1"/>
    <mergeCell ref="MZO1:MZR1"/>
    <mergeCell ref="MZS1:MZV1"/>
    <mergeCell ref="MYA1:MYD1"/>
    <mergeCell ref="MYE1:MYH1"/>
    <mergeCell ref="MYI1:MYL1"/>
    <mergeCell ref="MYM1:MYP1"/>
    <mergeCell ref="MYQ1:MYT1"/>
    <mergeCell ref="MYU1:MYX1"/>
    <mergeCell ref="MXC1:MXF1"/>
    <mergeCell ref="MXG1:MXJ1"/>
    <mergeCell ref="MXK1:MXN1"/>
    <mergeCell ref="MXO1:MXR1"/>
    <mergeCell ref="MXS1:MXV1"/>
    <mergeCell ref="MXW1:MXZ1"/>
    <mergeCell ref="MWE1:MWH1"/>
    <mergeCell ref="MWI1:MWL1"/>
    <mergeCell ref="MWM1:MWP1"/>
    <mergeCell ref="MWQ1:MWT1"/>
    <mergeCell ref="MWU1:MWX1"/>
    <mergeCell ref="MWY1:MXB1"/>
    <mergeCell ref="MVG1:MVJ1"/>
    <mergeCell ref="MVK1:MVN1"/>
    <mergeCell ref="MVO1:MVR1"/>
    <mergeCell ref="MVS1:MVV1"/>
    <mergeCell ref="MVW1:MVZ1"/>
    <mergeCell ref="MWA1:MWD1"/>
    <mergeCell ref="MUI1:MUL1"/>
    <mergeCell ref="MUM1:MUP1"/>
    <mergeCell ref="MUQ1:MUT1"/>
    <mergeCell ref="MUU1:MUX1"/>
    <mergeCell ref="MUY1:MVB1"/>
    <mergeCell ref="MVC1:MVF1"/>
    <mergeCell ref="MTK1:MTN1"/>
    <mergeCell ref="MTO1:MTR1"/>
    <mergeCell ref="MTS1:MTV1"/>
    <mergeCell ref="MTW1:MTZ1"/>
    <mergeCell ref="MUA1:MUD1"/>
    <mergeCell ref="MUE1:MUH1"/>
    <mergeCell ref="MSM1:MSP1"/>
    <mergeCell ref="MSQ1:MST1"/>
    <mergeCell ref="MSU1:MSX1"/>
    <mergeCell ref="MSY1:MTB1"/>
    <mergeCell ref="MTC1:MTF1"/>
    <mergeCell ref="MTG1:MTJ1"/>
    <mergeCell ref="MRO1:MRR1"/>
    <mergeCell ref="MRS1:MRV1"/>
    <mergeCell ref="MRW1:MRZ1"/>
    <mergeCell ref="MSA1:MSD1"/>
    <mergeCell ref="MSE1:MSH1"/>
    <mergeCell ref="MSI1:MSL1"/>
    <mergeCell ref="MQQ1:MQT1"/>
    <mergeCell ref="MQU1:MQX1"/>
    <mergeCell ref="MQY1:MRB1"/>
    <mergeCell ref="MRC1:MRF1"/>
    <mergeCell ref="MRG1:MRJ1"/>
    <mergeCell ref="MRK1:MRN1"/>
    <mergeCell ref="MPS1:MPV1"/>
    <mergeCell ref="MPW1:MPZ1"/>
    <mergeCell ref="MQA1:MQD1"/>
    <mergeCell ref="MQE1:MQH1"/>
    <mergeCell ref="MQI1:MQL1"/>
    <mergeCell ref="MQM1:MQP1"/>
    <mergeCell ref="MOU1:MOX1"/>
    <mergeCell ref="MOY1:MPB1"/>
    <mergeCell ref="MPC1:MPF1"/>
    <mergeCell ref="MPG1:MPJ1"/>
    <mergeCell ref="MPK1:MPN1"/>
    <mergeCell ref="MPO1:MPR1"/>
    <mergeCell ref="MNW1:MNZ1"/>
    <mergeCell ref="MOA1:MOD1"/>
    <mergeCell ref="MOE1:MOH1"/>
    <mergeCell ref="MOI1:MOL1"/>
    <mergeCell ref="MOM1:MOP1"/>
    <mergeCell ref="MOQ1:MOT1"/>
    <mergeCell ref="MMY1:MNB1"/>
    <mergeCell ref="MNC1:MNF1"/>
    <mergeCell ref="MNG1:MNJ1"/>
    <mergeCell ref="MNK1:MNN1"/>
    <mergeCell ref="MNO1:MNR1"/>
    <mergeCell ref="MNS1:MNV1"/>
    <mergeCell ref="MMA1:MMD1"/>
    <mergeCell ref="MME1:MMH1"/>
    <mergeCell ref="MMI1:MML1"/>
    <mergeCell ref="MMM1:MMP1"/>
    <mergeCell ref="MMQ1:MMT1"/>
    <mergeCell ref="MMU1:MMX1"/>
    <mergeCell ref="MLC1:MLF1"/>
    <mergeCell ref="MLG1:MLJ1"/>
    <mergeCell ref="MLK1:MLN1"/>
    <mergeCell ref="MLO1:MLR1"/>
    <mergeCell ref="MLS1:MLV1"/>
    <mergeCell ref="MLW1:MLZ1"/>
    <mergeCell ref="MKE1:MKH1"/>
    <mergeCell ref="MKI1:MKL1"/>
    <mergeCell ref="MKM1:MKP1"/>
    <mergeCell ref="MKQ1:MKT1"/>
    <mergeCell ref="MKU1:MKX1"/>
    <mergeCell ref="MKY1:MLB1"/>
    <mergeCell ref="MJG1:MJJ1"/>
    <mergeCell ref="MJK1:MJN1"/>
    <mergeCell ref="MJO1:MJR1"/>
    <mergeCell ref="MJS1:MJV1"/>
    <mergeCell ref="MJW1:MJZ1"/>
    <mergeCell ref="MKA1:MKD1"/>
    <mergeCell ref="MII1:MIL1"/>
    <mergeCell ref="MIM1:MIP1"/>
    <mergeCell ref="MIQ1:MIT1"/>
    <mergeCell ref="MIU1:MIX1"/>
    <mergeCell ref="MIY1:MJB1"/>
    <mergeCell ref="MJC1:MJF1"/>
    <mergeCell ref="MHK1:MHN1"/>
    <mergeCell ref="MHO1:MHR1"/>
    <mergeCell ref="MHS1:MHV1"/>
    <mergeCell ref="MHW1:MHZ1"/>
    <mergeCell ref="MIA1:MID1"/>
    <mergeCell ref="MIE1:MIH1"/>
    <mergeCell ref="MGM1:MGP1"/>
    <mergeCell ref="MGQ1:MGT1"/>
    <mergeCell ref="MGU1:MGX1"/>
    <mergeCell ref="MGY1:MHB1"/>
    <mergeCell ref="MHC1:MHF1"/>
    <mergeCell ref="MHG1:MHJ1"/>
    <mergeCell ref="MFO1:MFR1"/>
    <mergeCell ref="MFS1:MFV1"/>
    <mergeCell ref="MFW1:MFZ1"/>
    <mergeCell ref="MGA1:MGD1"/>
    <mergeCell ref="MGE1:MGH1"/>
    <mergeCell ref="MGI1:MGL1"/>
    <mergeCell ref="MEQ1:MET1"/>
    <mergeCell ref="MEU1:MEX1"/>
    <mergeCell ref="MEY1:MFB1"/>
    <mergeCell ref="MFC1:MFF1"/>
    <mergeCell ref="MFG1:MFJ1"/>
    <mergeCell ref="MFK1:MFN1"/>
    <mergeCell ref="MDS1:MDV1"/>
    <mergeCell ref="MDW1:MDZ1"/>
    <mergeCell ref="MEA1:MED1"/>
    <mergeCell ref="MEE1:MEH1"/>
    <mergeCell ref="MEI1:MEL1"/>
    <mergeCell ref="MEM1:MEP1"/>
    <mergeCell ref="MCU1:MCX1"/>
    <mergeCell ref="MCY1:MDB1"/>
    <mergeCell ref="MDC1:MDF1"/>
    <mergeCell ref="MDG1:MDJ1"/>
    <mergeCell ref="MDK1:MDN1"/>
    <mergeCell ref="MDO1:MDR1"/>
    <mergeCell ref="MBW1:MBZ1"/>
    <mergeCell ref="MCA1:MCD1"/>
    <mergeCell ref="MCE1:MCH1"/>
    <mergeCell ref="MCI1:MCL1"/>
    <mergeCell ref="MCM1:MCP1"/>
    <mergeCell ref="MCQ1:MCT1"/>
    <mergeCell ref="MAY1:MBB1"/>
    <mergeCell ref="MBC1:MBF1"/>
    <mergeCell ref="MBG1:MBJ1"/>
    <mergeCell ref="MBK1:MBN1"/>
    <mergeCell ref="MBO1:MBR1"/>
    <mergeCell ref="MBS1:MBV1"/>
    <mergeCell ref="MAA1:MAD1"/>
    <mergeCell ref="MAE1:MAH1"/>
    <mergeCell ref="MAI1:MAL1"/>
    <mergeCell ref="MAM1:MAP1"/>
    <mergeCell ref="MAQ1:MAT1"/>
    <mergeCell ref="MAU1:MAX1"/>
    <mergeCell ref="LZC1:LZF1"/>
    <mergeCell ref="LZG1:LZJ1"/>
    <mergeCell ref="LZK1:LZN1"/>
    <mergeCell ref="LZO1:LZR1"/>
    <mergeCell ref="LZS1:LZV1"/>
    <mergeCell ref="LZW1:LZZ1"/>
    <mergeCell ref="LYE1:LYH1"/>
    <mergeCell ref="LYI1:LYL1"/>
    <mergeCell ref="LYM1:LYP1"/>
    <mergeCell ref="LYQ1:LYT1"/>
    <mergeCell ref="LYU1:LYX1"/>
    <mergeCell ref="LYY1:LZB1"/>
    <mergeCell ref="LXG1:LXJ1"/>
    <mergeCell ref="LXK1:LXN1"/>
    <mergeCell ref="LXO1:LXR1"/>
    <mergeCell ref="LXS1:LXV1"/>
    <mergeCell ref="LXW1:LXZ1"/>
    <mergeCell ref="LYA1:LYD1"/>
    <mergeCell ref="LWI1:LWL1"/>
    <mergeCell ref="LWM1:LWP1"/>
    <mergeCell ref="LWQ1:LWT1"/>
    <mergeCell ref="LWU1:LWX1"/>
    <mergeCell ref="LWY1:LXB1"/>
    <mergeCell ref="LXC1:LXF1"/>
    <mergeCell ref="LVK1:LVN1"/>
    <mergeCell ref="LVO1:LVR1"/>
    <mergeCell ref="LVS1:LVV1"/>
    <mergeCell ref="LVW1:LVZ1"/>
    <mergeCell ref="LWA1:LWD1"/>
    <mergeCell ref="LWE1:LWH1"/>
    <mergeCell ref="LUM1:LUP1"/>
    <mergeCell ref="LUQ1:LUT1"/>
    <mergeCell ref="LUU1:LUX1"/>
    <mergeCell ref="LUY1:LVB1"/>
    <mergeCell ref="LVC1:LVF1"/>
    <mergeCell ref="LVG1:LVJ1"/>
    <mergeCell ref="LTO1:LTR1"/>
    <mergeCell ref="LTS1:LTV1"/>
    <mergeCell ref="LTW1:LTZ1"/>
    <mergeCell ref="LUA1:LUD1"/>
    <mergeCell ref="LUE1:LUH1"/>
    <mergeCell ref="LUI1:LUL1"/>
    <mergeCell ref="LSQ1:LST1"/>
    <mergeCell ref="LSU1:LSX1"/>
    <mergeCell ref="LSY1:LTB1"/>
    <mergeCell ref="LTC1:LTF1"/>
    <mergeCell ref="LTG1:LTJ1"/>
    <mergeCell ref="LTK1:LTN1"/>
    <mergeCell ref="LRS1:LRV1"/>
    <mergeCell ref="LRW1:LRZ1"/>
    <mergeCell ref="LSA1:LSD1"/>
    <mergeCell ref="LSE1:LSH1"/>
    <mergeCell ref="LSI1:LSL1"/>
    <mergeCell ref="LSM1:LSP1"/>
    <mergeCell ref="LQU1:LQX1"/>
    <mergeCell ref="LQY1:LRB1"/>
    <mergeCell ref="LRC1:LRF1"/>
    <mergeCell ref="LRG1:LRJ1"/>
    <mergeCell ref="LRK1:LRN1"/>
    <mergeCell ref="LRO1:LRR1"/>
    <mergeCell ref="LPW1:LPZ1"/>
    <mergeCell ref="LQA1:LQD1"/>
    <mergeCell ref="LQE1:LQH1"/>
    <mergeCell ref="LQI1:LQL1"/>
    <mergeCell ref="LQM1:LQP1"/>
    <mergeCell ref="LQQ1:LQT1"/>
    <mergeCell ref="LOY1:LPB1"/>
    <mergeCell ref="LPC1:LPF1"/>
    <mergeCell ref="LPG1:LPJ1"/>
    <mergeCell ref="LPK1:LPN1"/>
    <mergeCell ref="LPO1:LPR1"/>
    <mergeCell ref="LPS1:LPV1"/>
    <mergeCell ref="LOA1:LOD1"/>
    <mergeCell ref="LOE1:LOH1"/>
    <mergeCell ref="LOI1:LOL1"/>
    <mergeCell ref="LOM1:LOP1"/>
    <mergeCell ref="LOQ1:LOT1"/>
    <mergeCell ref="LOU1:LOX1"/>
    <mergeCell ref="LNC1:LNF1"/>
    <mergeCell ref="LNG1:LNJ1"/>
    <mergeCell ref="LNK1:LNN1"/>
    <mergeCell ref="LNO1:LNR1"/>
    <mergeCell ref="LNS1:LNV1"/>
    <mergeCell ref="LNW1:LNZ1"/>
    <mergeCell ref="LME1:LMH1"/>
    <mergeCell ref="LMI1:LML1"/>
    <mergeCell ref="LMM1:LMP1"/>
    <mergeCell ref="LMQ1:LMT1"/>
    <mergeCell ref="LMU1:LMX1"/>
    <mergeCell ref="LMY1:LNB1"/>
    <mergeCell ref="LLG1:LLJ1"/>
    <mergeCell ref="LLK1:LLN1"/>
    <mergeCell ref="LLO1:LLR1"/>
    <mergeCell ref="LLS1:LLV1"/>
    <mergeCell ref="LLW1:LLZ1"/>
    <mergeCell ref="LMA1:LMD1"/>
    <mergeCell ref="LKI1:LKL1"/>
    <mergeCell ref="LKM1:LKP1"/>
    <mergeCell ref="LKQ1:LKT1"/>
    <mergeCell ref="LKU1:LKX1"/>
    <mergeCell ref="LKY1:LLB1"/>
    <mergeCell ref="LLC1:LLF1"/>
    <mergeCell ref="LJK1:LJN1"/>
    <mergeCell ref="LJO1:LJR1"/>
    <mergeCell ref="LJS1:LJV1"/>
    <mergeCell ref="LJW1:LJZ1"/>
    <mergeCell ref="LKA1:LKD1"/>
    <mergeCell ref="LKE1:LKH1"/>
    <mergeCell ref="LIM1:LIP1"/>
    <mergeCell ref="LIQ1:LIT1"/>
    <mergeCell ref="LIU1:LIX1"/>
    <mergeCell ref="LIY1:LJB1"/>
    <mergeCell ref="LJC1:LJF1"/>
    <mergeCell ref="LJG1:LJJ1"/>
    <mergeCell ref="LHO1:LHR1"/>
    <mergeCell ref="LHS1:LHV1"/>
    <mergeCell ref="LHW1:LHZ1"/>
    <mergeCell ref="LIA1:LID1"/>
    <mergeCell ref="LIE1:LIH1"/>
    <mergeCell ref="LII1:LIL1"/>
    <mergeCell ref="LGQ1:LGT1"/>
    <mergeCell ref="LGU1:LGX1"/>
    <mergeCell ref="LGY1:LHB1"/>
    <mergeCell ref="LHC1:LHF1"/>
    <mergeCell ref="LHG1:LHJ1"/>
    <mergeCell ref="LHK1:LHN1"/>
    <mergeCell ref="LFS1:LFV1"/>
    <mergeCell ref="LFW1:LFZ1"/>
    <mergeCell ref="LGA1:LGD1"/>
    <mergeCell ref="LGE1:LGH1"/>
    <mergeCell ref="LGI1:LGL1"/>
    <mergeCell ref="LGM1:LGP1"/>
    <mergeCell ref="LEU1:LEX1"/>
    <mergeCell ref="LEY1:LFB1"/>
    <mergeCell ref="LFC1:LFF1"/>
    <mergeCell ref="LFG1:LFJ1"/>
    <mergeCell ref="LFK1:LFN1"/>
    <mergeCell ref="LFO1:LFR1"/>
    <mergeCell ref="LDW1:LDZ1"/>
    <mergeCell ref="LEA1:LED1"/>
    <mergeCell ref="LEE1:LEH1"/>
    <mergeCell ref="LEI1:LEL1"/>
    <mergeCell ref="LEM1:LEP1"/>
    <mergeCell ref="LEQ1:LET1"/>
    <mergeCell ref="LCY1:LDB1"/>
    <mergeCell ref="LDC1:LDF1"/>
    <mergeCell ref="LDG1:LDJ1"/>
    <mergeCell ref="LDK1:LDN1"/>
    <mergeCell ref="LDO1:LDR1"/>
    <mergeCell ref="LDS1:LDV1"/>
    <mergeCell ref="LCA1:LCD1"/>
    <mergeCell ref="LCE1:LCH1"/>
    <mergeCell ref="LCI1:LCL1"/>
    <mergeCell ref="LCM1:LCP1"/>
    <mergeCell ref="LCQ1:LCT1"/>
    <mergeCell ref="LCU1:LCX1"/>
    <mergeCell ref="LBC1:LBF1"/>
    <mergeCell ref="LBG1:LBJ1"/>
    <mergeCell ref="LBK1:LBN1"/>
    <mergeCell ref="LBO1:LBR1"/>
    <mergeCell ref="LBS1:LBV1"/>
    <mergeCell ref="LBW1:LBZ1"/>
    <mergeCell ref="LAE1:LAH1"/>
    <mergeCell ref="LAI1:LAL1"/>
    <mergeCell ref="LAM1:LAP1"/>
    <mergeCell ref="LAQ1:LAT1"/>
    <mergeCell ref="LAU1:LAX1"/>
    <mergeCell ref="LAY1:LBB1"/>
    <mergeCell ref="KZG1:KZJ1"/>
    <mergeCell ref="KZK1:KZN1"/>
    <mergeCell ref="KZO1:KZR1"/>
    <mergeCell ref="KZS1:KZV1"/>
    <mergeCell ref="KZW1:KZZ1"/>
    <mergeCell ref="LAA1:LAD1"/>
    <mergeCell ref="KYI1:KYL1"/>
    <mergeCell ref="KYM1:KYP1"/>
    <mergeCell ref="KYQ1:KYT1"/>
    <mergeCell ref="KYU1:KYX1"/>
    <mergeCell ref="KYY1:KZB1"/>
    <mergeCell ref="KZC1:KZF1"/>
    <mergeCell ref="KXK1:KXN1"/>
    <mergeCell ref="KXO1:KXR1"/>
    <mergeCell ref="KXS1:KXV1"/>
    <mergeCell ref="KXW1:KXZ1"/>
    <mergeCell ref="KYA1:KYD1"/>
    <mergeCell ref="KYE1:KYH1"/>
    <mergeCell ref="KWM1:KWP1"/>
    <mergeCell ref="KWQ1:KWT1"/>
    <mergeCell ref="KWU1:KWX1"/>
    <mergeCell ref="KWY1:KXB1"/>
    <mergeCell ref="KXC1:KXF1"/>
    <mergeCell ref="KXG1:KXJ1"/>
    <mergeCell ref="KVO1:KVR1"/>
    <mergeCell ref="KVS1:KVV1"/>
    <mergeCell ref="KVW1:KVZ1"/>
    <mergeCell ref="KWA1:KWD1"/>
    <mergeCell ref="KWE1:KWH1"/>
    <mergeCell ref="KWI1:KWL1"/>
    <mergeCell ref="KUQ1:KUT1"/>
    <mergeCell ref="KUU1:KUX1"/>
    <mergeCell ref="KUY1:KVB1"/>
    <mergeCell ref="KVC1:KVF1"/>
    <mergeCell ref="KVG1:KVJ1"/>
    <mergeCell ref="KVK1:KVN1"/>
    <mergeCell ref="KTS1:KTV1"/>
    <mergeCell ref="KTW1:KTZ1"/>
    <mergeCell ref="KUA1:KUD1"/>
    <mergeCell ref="KUE1:KUH1"/>
    <mergeCell ref="KUI1:KUL1"/>
    <mergeCell ref="KUM1:KUP1"/>
    <mergeCell ref="KSU1:KSX1"/>
    <mergeCell ref="KSY1:KTB1"/>
    <mergeCell ref="KTC1:KTF1"/>
    <mergeCell ref="KTG1:KTJ1"/>
    <mergeCell ref="KTK1:KTN1"/>
    <mergeCell ref="KTO1:KTR1"/>
    <mergeCell ref="KRW1:KRZ1"/>
    <mergeCell ref="KSA1:KSD1"/>
    <mergeCell ref="KSE1:KSH1"/>
    <mergeCell ref="KSI1:KSL1"/>
    <mergeCell ref="KSM1:KSP1"/>
    <mergeCell ref="KSQ1:KST1"/>
    <mergeCell ref="KQY1:KRB1"/>
    <mergeCell ref="KRC1:KRF1"/>
    <mergeCell ref="KRG1:KRJ1"/>
    <mergeCell ref="KRK1:KRN1"/>
    <mergeCell ref="KRO1:KRR1"/>
    <mergeCell ref="KRS1:KRV1"/>
    <mergeCell ref="KQA1:KQD1"/>
    <mergeCell ref="KQE1:KQH1"/>
    <mergeCell ref="KQI1:KQL1"/>
    <mergeCell ref="KQM1:KQP1"/>
    <mergeCell ref="KQQ1:KQT1"/>
    <mergeCell ref="KQU1:KQX1"/>
    <mergeCell ref="KPC1:KPF1"/>
    <mergeCell ref="KPG1:KPJ1"/>
    <mergeCell ref="KPK1:KPN1"/>
    <mergeCell ref="KPO1:KPR1"/>
    <mergeCell ref="KPS1:KPV1"/>
    <mergeCell ref="KPW1:KPZ1"/>
    <mergeCell ref="KOE1:KOH1"/>
    <mergeCell ref="KOI1:KOL1"/>
    <mergeCell ref="KOM1:KOP1"/>
    <mergeCell ref="KOQ1:KOT1"/>
    <mergeCell ref="KOU1:KOX1"/>
    <mergeCell ref="KOY1:KPB1"/>
    <mergeCell ref="KNG1:KNJ1"/>
    <mergeCell ref="KNK1:KNN1"/>
    <mergeCell ref="KNO1:KNR1"/>
    <mergeCell ref="KNS1:KNV1"/>
    <mergeCell ref="KNW1:KNZ1"/>
    <mergeCell ref="KOA1:KOD1"/>
    <mergeCell ref="KMI1:KML1"/>
    <mergeCell ref="KMM1:KMP1"/>
    <mergeCell ref="KMQ1:KMT1"/>
    <mergeCell ref="KMU1:KMX1"/>
    <mergeCell ref="KMY1:KNB1"/>
    <mergeCell ref="KNC1:KNF1"/>
    <mergeCell ref="KLK1:KLN1"/>
    <mergeCell ref="KLO1:KLR1"/>
    <mergeCell ref="KLS1:KLV1"/>
    <mergeCell ref="KLW1:KLZ1"/>
    <mergeCell ref="KMA1:KMD1"/>
    <mergeCell ref="KME1:KMH1"/>
    <mergeCell ref="KKM1:KKP1"/>
    <mergeCell ref="KKQ1:KKT1"/>
    <mergeCell ref="KKU1:KKX1"/>
    <mergeCell ref="KKY1:KLB1"/>
    <mergeCell ref="KLC1:KLF1"/>
    <mergeCell ref="KLG1:KLJ1"/>
    <mergeCell ref="KJO1:KJR1"/>
    <mergeCell ref="KJS1:KJV1"/>
    <mergeCell ref="KJW1:KJZ1"/>
    <mergeCell ref="KKA1:KKD1"/>
    <mergeCell ref="KKE1:KKH1"/>
    <mergeCell ref="KKI1:KKL1"/>
    <mergeCell ref="KIQ1:KIT1"/>
    <mergeCell ref="KIU1:KIX1"/>
    <mergeCell ref="KIY1:KJB1"/>
    <mergeCell ref="KJC1:KJF1"/>
    <mergeCell ref="KJG1:KJJ1"/>
    <mergeCell ref="KJK1:KJN1"/>
    <mergeCell ref="KHS1:KHV1"/>
    <mergeCell ref="KHW1:KHZ1"/>
    <mergeCell ref="KIA1:KID1"/>
    <mergeCell ref="KIE1:KIH1"/>
    <mergeCell ref="KII1:KIL1"/>
    <mergeCell ref="KIM1:KIP1"/>
    <mergeCell ref="KGU1:KGX1"/>
    <mergeCell ref="KGY1:KHB1"/>
    <mergeCell ref="KHC1:KHF1"/>
    <mergeCell ref="KHG1:KHJ1"/>
    <mergeCell ref="KHK1:KHN1"/>
    <mergeCell ref="KHO1:KHR1"/>
    <mergeCell ref="KFW1:KFZ1"/>
    <mergeCell ref="KGA1:KGD1"/>
    <mergeCell ref="KGE1:KGH1"/>
    <mergeCell ref="KGI1:KGL1"/>
    <mergeCell ref="KGM1:KGP1"/>
    <mergeCell ref="KGQ1:KGT1"/>
    <mergeCell ref="KEY1:KFB1"/>
    <mergeCell ref="KFC1:KFF1"/>
    <mergeCell ref="KFG1:KFJ1"/>
    <mergeCell ref="KFK1:KFN1"/>
    <mergeCell ref="KFO1:KFR1"/>
    <mergeCell ref="KFS1:KFV1"/>
    <mergeCell ref="KEA1:KED1"/>
    <mergeCell ref="KEE1:KEH1"/>
    <mergeCell ref="KEI1:KEL1"/>
    <mergeCell ref="KEM1:KEP1"/>
    <mergeCell ref="KEQ1:KET1"/>
    <mergeCell ref="KEU1:KEX1"/>
    <mergeCell ref="KDC1:KDF1"/>
    <mergeCell ref="KDG1:KDJ1"/>
    <mergeCell ref="KDK1:KDN1"/>
    <mergeCell ref="KDO1:KDR1"/>
    <mergeCell ref="KDS1:KDV1"/>
    <mergeCell ref="KDW1:KDZ1"/>
    <mergeCell ref="KCE1:KCH1"/>
    <mergeCell ref="KCI1:KCL1"/>
    <mergeCell ref="KCM1:KCP1"/>
    <mergeCell ref="KCQ1:KCT1"/>
    <mergeCell ref="KCU1:KCX1"/>
    <mergeCell ref="KCY1:KDB1"/>
    <mergeCell ref="KBG1:KBJ1"/>
    <mergeCell ref="KBK1:KBN1"/>
    <mergeCell ref="KBO1:KBR1"/>
    <mergeCell ref="KBS1:KBV1"/>
    <mergeCell ref="KBW1:KBZ1"/>
    <mergeCell ref="KCA1:KCD1"/>
    <mergeCell ref="KAI1:KAL1"/>
    <mergeCell ref="KAM1:KAP1"/>
    <mergeCell ref="KAQ1:KAT1"/>
    <mergeCell ref="KAU1:KAX1"/>
    <mergeCell ref="KAY1:KBB1"/>
    <mergeCell ref="KBC1:KBF1"/>
    <mergeCell ref="JZK1:JZN1"/>
    <mergeCell ref="JZO1:JZR1"/>
    <mergeCell ref="JZS1:JZV1"/>
    <mergeCell ref="JZW1:JZZ1"/>
    <mergeCell ref="KAA1:KAD1"/>
    <mergeCell ref="KAE1:KAH1"/>
    <mergeCell ref="JYM1:JYP1"/>
    <mergeCell ref="JYQ1:JYT1"/>
    <mergeCell ref="JYU1:JYX1"/>
    <mergeCell ref="JYY1:JZB1"/>
    <mergeCell ref="JZC1:JZF1"/>
    <mergeCell ref="JZG1:JZJ1"/>
    <mergeCell ref="JXO1:JXR1"/>
    <mergeCell ref="JXS1:JXV1"/>
    <mergeCell ref="JXW1:JXZ1"/>
    <mergeCell ref="JYA1:JYD1"/>
    <mergeCell ref="JYE1:JYH1"/>
    <mergeCell ref="JYI1:JYL1"/>
    <mergeCell ref="JWQ1:JWT1"/>
    <mergeCell ref="JWU1:JWX1"/>
    <mergeCell ref="JWY1:JXB1"/>
    <mergeCell ref="JXC1:JXF1"/>
    <mergeCell ref="JXG1:JXJ1"/>
    <mergeCell ref="JXK1:JXN1"/>
    <mergeCell ref="JVS1:JVV1"/>
    <mergeCell ref="JVW1:JVZ1"/>
    <mergeCell ref="JWA1:JWD1"/>
    <mergeCell ref="JWE1:JWH1"/>
    <mergeCell ref="JWI1:JWL1"/>
    <mergeCell ref="JWM1:JWP1"/>
    <mergeCell ref="JUU1:JUX1"/>
    <mergeCell ref="JUY1:JVB1"/>
    <mergeCell ref="JVC1:JVF1"/>
    <mergeCell ref="JVG1:JVJ1"/>
    <mergeCell ref="JVK1:JVN1"/>
    <mergeCell ref="JVO1:JVR1"/>
    <mergeCell ref="JTW1:JTZ1"/>
    <mergeCell ref="JUA1:JUD1"/>
    <mergeCell ref="JUE1:JUH1"/>
    <mergeCell ref="JUI1:JUL1"/>
    <mergeCell ref="JUM1:JUP1"/>
    <mergeCell ref="JUQ1:JUT1"/>
    <mergeCell ref="JSY1:JTB1"/>
    <mergeCell ref="JTC1:JTF1"/>
    <mergeCell ref="JTG1:JTJ1"/>
    <mergeCell ref="JTK1:JTN1"/>
    <mergeCell ref="JTO1:JTR1"/>
    <mergeCell ref="JTS1:JTV1"/>
    <mergeCell ref="JSA1:JSD1"/>
    <mergeCell ref="JSE1:JSH1"/>
    <mergeCell ref="JSI1:JSL1"/>
    <mergeCell ref="JSM1:JSP1"/>
    <mergeCell ref="JSQ1:JST1"/>
    <mergeCell ref="JSU1:JSX1"/>
    <mergeCell ref="JRC1:JRF1"/>
    <mergeCell ref="JRG1:JRJ1"/>
    <mergeCell ref="JRK1:JRN1"/>
    <mergeCell ref="JRO1:JRR1"/>
    <mergeCell ref="JRS1:JRV1"/>
    <mergeCell ref="JRW1:JRZ1"/>
    <mergeCell ref="JQE1:JQH1"/>
    <mergeCell ref="JQI1:JQL1"/>
    <mergeCell ref="JQM1:JQP1"/>
    <mergeCell ref="JQQ1:JQT1"/>
    <mergeCell ref="JQU1:JQX1"/>
    <mergeCell ref="JQY1:JRB1"/>
    <mergeCell ref="JPG1:JPJ1"/>
    <mergeCell ref="JPK1:JPN1"/>
    <mergeCell ref="JPO1:JPR1"/>
    <mergeCell ref="JPS1:JPV1"/>
    <mergeCell ref="JPW1:JPZ1"/>
    <mergeCell ref="JQA1:JQD1"/>
    <mergeCell ref="JOI1:JOL1"/>
    <mergeCell ref="JOM1:JOP1"/>
    <mergeCell ref="JOQ1:JOT1"/>
    <mergeCell ref="JOU1:JOX1"/>
    <mergeCell ref="JOY1:JPB1"/>
    <mergeCell ref="JPC1:JPF1"/>
    <mergeCell ref="JNK1:JNN1"/>
    <mergeCell ref="JNO1:JNR1"/>
    <mergeCell ref="JNS1:JNV1"/>
    <mergeCell ref="JNW1:JNZ1"/>
    <mergeCell ref="JOA1:JOD1"/>
    <mergeCell ref="JOE1:JOH1"/>
    <mergeCell ref="JMM1:JMP1"/>
    <mergeCell ref="JMQ1:JMT1"/>
    <mergeCell ref="JMU1:JMX1"/>
    <mergeCell ref="JMY1:JNB1"/>
    <mergeCell ref="JNC1:JNF1"/>
    <mergeCell ref="JNG1:JNJ1"/>
    <mergeCell ref="JLO1:JLR1"/>
    <mergeCell ref="JLS1:JLV1"/>
    <mergeCell ref="JLW1:JLZ1"/>
    <mergeCell ref="JMA1:JMD1"/>
    <mergeCell ref="JME1:JMH1"/>
    <mergeCell ref="JMI1:JML1"/>
    <mergeCell ref="JKQ1:JKT1"/>
    <mergeCell ref="JKU1:JKX1"/>
    <mergeCell ref="JKY1:JLB1"/>
    <mergeCell ref="JLC1:JLF1"/>
    <mergeCell ref="JLG1:JLJ1"/>
    <mergeCell ref="JLK1:JLN1"/>
    <mergeCell ref="JJS1:JJV1"/>
    <mergeCell ref="JJW1:JJZ1"/>
    <mergeCell ref="JKA1:JKD1"/>
    <mergeCell ref="JKE1:JKH1"/>
    <mergeCell ref="JKI1:JKL1"/>
    <mergeCell ref="JKM1:JKP1"/>
    <mergeCell ref="JIU1:JIX1"/>
    <mergeCell ref="JIY1:JJB1"/>
    <mergeCell ref="JJC1:JJF1"/>
    <mergeCell ref="JJG1:JJJ1"/>
    <mergeCell ref="JJK1:JJN1"/>
    <mergeCell ref="JJO1:JJR1"/>
    <mergeCell ref="JHW1:JHZ1"/>
    <mergeCell ref="JIA1:JID1"/>
    <mergeCell ref="JIE1:JIH1"/>
    <mergeCell ref="JII1:JIL1"/>
    <mergeCell ref="JIM1:JIP1"/>
    <mergeCell ref="JIQ1:JIT1"/>
    <mergeCell ref="JGY1:JHB1"/>
    <mergeCell ref="JHC1:JHF1"/>
    <mergeCell ref="JHG1:JHJ1"/>
    <mergeCell ref="JHK1:JHN1"/>
    <mergeCell ref="JHO1:JHR1"/>
    <mergeCell ref="JHS1:JHV1"/>
    <mergeCell ref="JGA1:JGD1"/>
    <mergeCell ref="JGE1:JGH1"/>
    <mergeCell ref="JGI1:JGL1"/>
    <mergeCell ref="JGM1:JGP1"/>
    <mergeCell ref="JGQ1:JGT1"/>
    <mergeCell ref="JGU1:JGX1"/>
    <mergeCell ref="JFC1:JFF1"/>
    <mergeCell ref="JFG1:JFJ1"/>
    <mergeCell ref="JFK1:JFN1"/>
    <mergeCell ref="JFO1:JFR1"/>
    <mergeCell ref="JFS1:JFV1"/>
    <mergeCell ref="JFW1:JFZ1"/>
    <mergeCell ref="JEE1:JEH1"/>
    <mergeCell ref="JEI1:JEL1"/>
    <mergeCell ref="JEM1:JEP1"/>
    <mergeCell ref="JEQ1:JET1"/>
    <mergeCell ref="JEU1:JEX1"/>
    <mergeCell ref="JEY1:JFB1"/>
    <mergeCell ref="JDG1:JDJ1"/>
    <mergeCell ref="JDK1:JDN1"/>
    <mergeCell ref="JDO1:JDR1"/>
    <mergeCell ref="JDS1:JDV1"/>
    <mergeCell ref="JDW1:JDZ1"/>
    <mergeCell ref="JEA1:JED1"/>
    <mergeCell ref="JCI1:JCL1"/>
    <mergeCell ref="JCM1:JCP1"/>
    <mergeCell ref="JCQ1:JCT1"/>
    <mergeCell ref="JCU1:JCX1"/>
    <mergeCell ref="JCY1:JDB1"/>
    <mergeCell ref="JDC1:JDF1"/>
    <mergeCell ref="JBK1:JBN1"/>
    <mergeCell ref="JBO1:JBR1"/>
    <mergeCell ref="JBS1:JBV1"/>
    <mergeCell ref="JBW1:JBZ1"/>
    <mergeCell ref="JCA1:JCD1"/>
    <mergeCell ref="JCE1:JCH1"/>
    <mergeCell ref="JAM1:JAP1"/>
    <mergeCell ref="JAQ1:JAT1"/>
    <mergeCell ref="JAU1:JAX1"/>
    <mergeCell ref="JAY1:JBB1"/>
    <mergeCell ref="JBC1:JBF1"/>
    <mergeCell ref="JBG1:JBJ1"/>
    <mergeCell ref="IZO1:IZR1"/>
    <mergeCell ref="IZS1:IZV1"/>
    <mergeCell ref="IZW1:IZZ1"/>
    <mergeCell ref="JAA1:JAD1"/>
    <mergeCell ref="JAE1:JAH1"/>
    <mergeCell ref="JAI1:JAL1"/>
    <mergeCell ref="IYQ1:IYT1"/>
    <mergeCell ref="IYU1:IYX1"/>
    <mergeCell ref="IYY1:IZB1"/>
    <mergeCell ref="IZC1:IZF1"/>
    <mergeCell ref="IZG1:IZJ1"/>
    <mergeCell ref="IZK1:IZN1"/>
    <mergeCell ref="IXS1:IXV1"/>
    <mergeCell ref="IXW1:IXZ1"/>
    <mergeCell ref="IYA1:IYD1"/>
    <mergeCell ref="IYE1:IYH1"/>
    <mergeCell ref="IYI1:IYL1"/>
    <mergeCell ref="IYM1:IYP1"/>
    <mergeCell ref="IWU1:IWX1"/>
    <mergeCell ref="IWY1:IXB1"/>
    <mergeCell ref="IXC1:IXF1"/>
    <mergeCell ref="IXG1:IXJ1"/>
    <mergeCell ref="IXK1:IXN1"/>
    <mergeCell ref="IXO1:IXR1"/>
    <mergeCell ref="IVW1:IVZ1"/>
    <mergeCell ref="IWA1:IWD1"/>
    <mergeCell ref="IWE1:IWH1"/>
    <mergeCell ref="IWI1:IWL1"/>
    <mergeCell ref="IWM1:IWP1"/>
    <mergeCell ref="IWQ1:IWT1"/>
    <mergeCell ref="IUY1:IVB1"/>
    <mergeCell ref="IVC1:IVF1"/>
    <mergeCell ref="IVG1:IVJ1"/>
    <mergeCell ref="IVK1:IVN1"/>
    <mergeCell ref="IVO1:IVR1"/>
    <mergeCell ref="IVS1:IVV1"/>
    <mergeCell ref="IUA1:IUD1"/>
    <mergeCell ref="IUE1:IUH1"/>
    <mergeCell ref="IUI1:IUL1"/>
    <mergeCell ref="IUM1:IUP1"/>
    <mergeCell ref="IUQ1:IUT1"/>
    <mergeCell ref="IUU1:IUX1"/>
    <mergeCell ref="ITC1:ITF1"/>
    <mergeCell ref="ITG1:ITJ1"/>
    <mergeCell ref="ITK1:ITN1"/>
    <mergeCell ref="ITO1:ITR1"/>
    <mergeCell ref="ITS1:ITV1"/>
    <mergeCell ref="ITW1:ITZ1"/>
    <mergeCell ref="ISE1:ISH1"/>
    <mergeCell ref="ISI1:ISL1"/>
    <mergeCell ref="ISM1:ISP1"/>
    <mergeCell ref="ISQ1:IST1"/>
    <mergeCell ref="ISU1:ISX1"/>
    <mergeCell ref="ISY1:ITB1"/>
    <mergeCell ref="IRG1:IRJ1"/>
    <mergeCell ref="IRK1:IRN1"/>
    <mergeCell ref="IRO1:IRR1"/>
    <mergeCell ref="IRS1:IRV1"/>
    <mergeCell ref="IRW1:IRZ1"/>
    <mergeCell ref="ISA1:ISD1"/>
    <mergeCell ref="IQI1:IQL1"/>
    <mergeCell ref="IQM1:IQP1"/>
    <mergeCell ref="IQQ1:IQT1"/>
    <mergeCell ref="IQU1:IQX1"/>
    <mergeCell ref="IQY1:IRB1"/>
    <mergeCell ref="IRC1:IRF1"/>
    <mergeCell ref="IPK1:IPN1"/>
    <mergeCell ref="IPO1:IPR1"/>
    <mergeCell ref="IPS1:IPV1"/>
    <mergeCell ref="IPW1:IPZ1"/>
    <mergeCell ref="IQA1:IQD1"/>
    <mergeCell ref="IQE1:IQH1"/>
    <mergeCell ref="IOM1:IOP1"/>
    <mergeCell ref="IOQ1:IOT1"/>
    <mergeCell ref="IOU1:IOX1"/>
    <mergeCell ref="IOY1:IPB1"/>
    <mergeCell ref="IPC1:IPF1"/>
    <mergeCell ref="IPG1:IPJ1"/>
    <mergeCell ref="INO1:INR1"/>
    <mergeCell ref="INS1:INV1"/>
    <mergeCell ref="INW1:INZ1"/>
    <mergeCell ref="IOA1:IOD1"/>
    <mergeCell ref="IOE1:IOH1"/>
    <mergeCell ref="IOI1:IOL1"/>
    <mergeCell ref="IMQ1:IMT1"/>
    <mergeCell ref="IMU1:IMX1"/>
    <mergeCell ref="IMY1:INB1"/>
    <mergeCell ref="INC1:INF1"/>
    <mergeCell ref="ING1:INJ1"/>
    <mergeCell ref="INK1:INN1"/>
    <mergeCell ref="ILS1:ILV1"/>
    <mergeCell ref="ILW1:ILZ1"/>
    <mergeCell ref="IMA1:IMD1"/>
    <mergeCell ref="IME1:IMH1"/>
    <mergeCell ref="IMI1:IML1"/>
    <mergeCell ref="IMM1:IMP1"/>
    <mergeCell ref="IKU1:IKX1"/>
    <mergeCell ref="IKY1:ILB1"/>
    <mergeCell ref="ILC1:ILF1"/>
    <mergeCell ref="ILG1:ILJ1"/>
    <mergeCell ref="ILK1:ILN1"/>
    <mergeCell ref="ILO1:ILR1"/>
    <mergeCell ref="IJW1:IJZ1"/>
    <mergeCell ref="IKA1:IKD1"/>
    <mergeCell ref="IKE1:IKH1"/>
    <mergeCell ref="IKI1:IKL1"/>
    <mergeCell ref="IKM1:IKP1"/>
    <mergeCell ref="IKQ1:IKT1"/>
    <mergeCell ref="IIY1:IJB1"/>
    <mergeCell ref="IJC1:IJF1"/>
    <mergeCell ref="IJG1:IJJ1"/>
    <mergeCell ref="IJK1:IJN1"/>
    <mergeCell ref="IJO1:IJR1"/>
    <mergeCell ref="IJS1:IJV1"/>
    <mergeCell ref="IIA1:IID1"/>
    <mergeCell ref="IIE1:IIH1"/>
    <mergeCell ref="III1:IIL1"/>
    <mergeCell ref="IIM1:IIP1"/>
    <mergeCell ref="IIQ1:IIT1"/>
    <mergeCell ref="IIU1:IIX1"/>
    <mergeCell ref="IHC1:IHF1"/>
    <mergeCell ref="IHG1:IHJ1"/>
    <mergeCell ref="IHK1:IHN1"/>
    <mergeCell ref="IHO1:IHR1"/>
    <mergeCell ref="IHS1:IHV1"/>
    <mergeCell ref="IHW1:IHZ1"/>
    <mergeCell ref="IGE1:IGH1"/>
    <mergeCell ref="IGI1:IGL1"/>
    <mergeCell ref="IGM1:IGP1"/>
    <mergeCell ref="IGQ1:IGT1"/>
    <mergeCell ref="IGU1:IGX1"/>
    <mergeCell ref="IGY1:IHB1"/>
    <mergeCell ref="IFG1:IFJ1"/>
    <mergeCell ref="IFK1:IFN1"/>
    <mergeCell ref="IFO1:IFR1"/>
    <mergeCell ref="IFS1:IFV1"/>
    <mergeCell ref="IFW1:IFZ1"/>
    <mergeCell ref="IGA1:IGD1"/>
    <mergeCell ref="IEI1:IEL1"/>
    <mergeCell ref="IEM1:IEP1"/>
    <mergeCell ref="IEQ1:IET1"/>
    <mergeCell ref="IEU1:IEX1"/>
    <mergeCell ref="IEY1:IFB1"/>
    <mergeCell ref="IFC1:IFF1"/>
    <mergeCell ref="IDK1:IDN1"/>
    <mergeCell ref="IDO1:IDR1"/>
    <mergeCell ref="IDS1:IDV1"/>
    <mergeCell ref="IDW1:IDZ1"/>
    <mergeCell ref="IEA1:IED1"/>
    <mergeCell ref="IEE1:IEH1"/>
    <mergeCell ref="ICM1:ICP1"/>
    <mergeCell ref="ICQ1:ICT1"/>
    <mergeCell ref="ICU1:ICX1"/>
    <mergeCell ref="ICY1:IDB1"/>
    <mergeCell ref="IDC1:IDF1"/>
    <mergeCell ref="IDG1:IDJ1"/>
    <mergeCell ref="IBO1:IBR1"/>
    <mergeCell ref="IBS1:IBV1"/>
    <mergeCell ref="IBW1:IBZ1"/>
    <mergeCell ref="ICA1:ICD1"/>
    <mergeCell ref="ICE1:ICH1"/>
    <mergeCell ref="ICI1:ICL1"/>
    <mergeCell ref="IAQ1:IAT1"/>
    <mergeCell ref="IAU1:IAX1"/>
    <mergeCell ref="IAY1:IBB1"/>
    <mergeCell ref="IBC1:IBF1"/>
    <mergeCell ref="IBG1:IBJ1"/>
    <mergeCell ref="IBK1:IBN1"/>
    <mergeCell ref="HZS1:HZV1"/>
    <mergeCell ref="HZW1:HZZ1"/>
    <mergeCell ref="IAA1:IAD1"/>
    <mergeCell ref="IAE1:IAH1"/>
    <mergeCell ref="IAI1:IAL1"/>
    <mergeCell ref="IAM1:IAP1"/>
    <mergeCell ref="HYU1:HYX1"/>
    <mergeCell ref="HYY1:HZB1"/>
    <mergeCell ref="HZC1:HZF1"/>
    <mergeCell ref="HZG1:HZJ1"/>
    <mergeCell ref="HZK1:HZN1"/>
    <mergeCell ref="HZO1:HZR1"/>
    <mergeCell ref="HXW1:HXZ1"/>
    <mergeCell ref="HYA1:HYD1"/>
    <mergeCell ref="HYE1:HYH1"/>
    <mergeCell ref="HYI1:HYL1"/>
    <mergeCell ref="HYM1:HYP1"/>
    <mergeCell ref="HYQ1:HYT1"/>
    <mergeCell ref="HWY1:HXB1"/>
    <mergeCell ref="HXC1:HXF1"/>
    <mergeCell ref="HXG1:HXJ1"/>
    <mergeCell ref="HXK1:HXN1"/>
    <mergeCell ref="HXO1:HXR1"/>
    <mergeCell ref="HXS1:HXV1"/>
    <mergeCell ref="HWA1:HWD1"/>
    <mergeCell ref="HWE1:HWH1"/>
    <mergeCell ref="HWI1:HWL1"/>
    <mergeCell ref="HWM1:HWP1"/>
    <mergeCell ref="HWQ1:HWT1"/>
    <mergeCell ref="HWU1:HWX1"/>
    <mergeCell ref="HVC1:HVF1"/>
    <mergeCell ref="HVG1:HVJ1"/>
    <mergeCell ref="HVK1:HVN1"/>
    <mergeCell ref="HVO1:HVR1"/>
    <mergeCell ref="HVS1:HVV1"/>
    <mergeCell ref="HVW1:HVZ1"/>
    <mergeCell ref="HUE1:HUH1"/>
    <mergeCell ref="HUI1:HUL1"/>
    <mergeCell ref="HUM1:HUP1"/>
    <mergeCell ref="HUQ1:HUT1"/>
    <mergeCell ref="HUU1:HUX1"/>
    <mergeCell ref="HUY1:HVB1"/>
    <mergeCell ref="HTG1:HTJ1"/>
    <mergeCell ref="HTK1:HTN1"/>
    <mergeCell ref="HTO1:HTR1"/>
    <mergeCell ref="HTS1:HTV1"/>
    <mergeCell ref="HTW1:HTZ1"/>
    <mergeCell ref="HUA1:HUD1"/>
    <mergeCell ref="HSI1:HSL1"/>
    <mergeCell ref="HSM1:HSP1"/>
    <mergeCell ref="HSQ1:HST1"/>
    <mergeCell ref="HSU1:HSX1"/>
    <mergeCell ref="HSY1:HTB1"/>
    <mergeCell ref="HTC1:HTF1"/>
    <mergeCell ref="HRK1:HRN1"/>
    <mergeCell ref="HRO1:HRR1"/>
    <mergeCell ref="HRS1:HRV1"/>
    <mergeCell ref="HRW1:HRZ1"/>
    <mergeCell ref="HSA1:HSD1"/>
    <mergeCell ref="HSE1:HSH1"/>
    <mergeCell ref="HQM1:HQP1"/>
    <mergeCell ref="HQQ1:HQT1"/>
    <mergeCell ref="HQU1:HQX1"/>
    <mergeCell ref="HQY1:HRB1"/>
    <mergeCell ref="HRC1:HRF1"/>
    <mergeCell ref="HRG1:HRJ1"/>
    <mergeCell ref="HPO1:HPR1"/>
    <mergeCell ref="HPS1:HPV1"/>
    <mergeCell ref="HPW1:HPZ1"/>
    <mergeCell ref="HQA1:HQD1"/>
    <mergeCell ref="HQE1:HQH1"/>
    <mergeCell ref="HQI1:HQL1"/>
    <mergeCell ref="HOQ1:HOT1"/>
    <mergeCell ref="HOU1:HOX1"/>
    <mergeCell ref="HOY1:HPB1"/>
    <mergeCell ref="HPC1:HPF1"/>
    <mergeCell ref="HPG1:HPJ1"/>
    <mergeCell ref="HPK1:HPN1"/>
    <mergeCell ref="HNS1:HNV1"/>
    <mergeCell ref="HNW1:HNZ1"/>
    <mergeCell ref="HOA1:HOD1"/>
    <mergeCell ref="HOE1:HOH1"/>
    <mergeCell ref="HOI1:HOL1"/>
    <mergeCell ref="HOM1:HOP1"/>
    <mergeCell ref="HMU1:HMX1"/>
    <mergeCell ref="HMY1:HNB1"/>
    <mergeCell ref="HNC1:HNF1"/>
    <mergeCell ref="HNG1:HNJ1"/>
    <mergeCell ref="HNK1:HNN1"/>
    <mergeCell ref="HNO1:HNR1"/>
    <mergeCell ref="HLW1:HLZ1"/>
    <mergeCell ref="HMA1:HMD1"/>
    <mergeCell ref="HME1:HMH1"/>
    <mergeCell ref="HMI1:HML1"/>
    <mergeCell ref="HMM1:HMP1"/>
    <mergeCell ref="HMQ1:HMT1"/>
    <mergeCell ref="HKY1:HLB1"/>
    <mergeCell ref="HLC1:HLF1"/>
    <mergeCell ref="HLG1:HLJ1"/>
    <mergeCell ref="HLK1:HLN1"/>
    <mergeCell ref="HLO1:HLR1"/>
    <mergeCell ref="HLS1:HLV1"/>
    <mergeCell ref="HKA1:HKD1"/>
    <mergeCell ref="HKE1:HKH1"/>
    <mergeCell ref="HKI1:HKL1"/>
    <mergeCell ref="HKM1:HKP1"/>
    <mergeCell ref="HKQ1:HKT1"/>
    <mergeCell ref="HKU1:HKX1"/>
    <mergeCell ref="HJC1:HJF1"/>
    <mergeCell ref="HJG1:HJJ1"/>
    <mergeCell ref="HJK1:HJN1"/>
    <mergeCell ref="HJO1:HJR1"/>
    <mergeCell ref="HJS1:HJV1"/>
    <mergeCell ref="HJW1:HJZ1"/>
    <mergeCell ref="HIE1:HIH1"/>
    <mergeCell ref="HII1:HIL1"/>
    <mergeCell ref="HIM1:HIP1"/>
    <mergeCell ref="HIQ1:HIT1"/>
    <mergeCell ref="HIU1:HIX1"/>
    <mergeCell ref="HIY1:HJB1"/>
    <mergeCell ref="HHG1:HHJ1"/>
    <mergeCell ref="HHK1:HHN1"/>
    <mergeCell ref="HHO1:HHR1"/>
    <mergeCell ref="HHS1:HHV1"/>
    <mergeCell ref="HHW1:HHZ1"/>
    <mergeCell ref="HIA1:HID1"/>
    <mergeCell ref="HGI1:HGL1"/>
    <mergeCell ref="HGM1:HGP1"/>
    <mergeCell ref="HGQ1:HGT1"/>
    <mergeCell ref="HGU1:HGX1"/>
    <mergeCell ref="HGY1:HHB1"/>
    <mergeCell ref="HHC1:HHF1"/>
    <mergeCell ref="HFK1:HFN1"/>
    <mergeCell ref="HFO1:HFR1"/>
    <mergeCell ref="HFS1:HFV1"/>
    <mergeCell ref="HFW1:HFZ1"/>
    <mergeCell ref="HGA1:HGD1"/>
    <mergeCell ref="HGE1:HGH1"/>
    <mergeCell ref="HEM1:HEP1"/>
    <mergeCell ref="HEQ1:HET1"/>
    <mergeCell ref="HEU1:HEX1"/>
    <mergeCell ref="HEY1:HFB1"/>
    <mergeCell ref="HFC1:HFF1"/>
    <mergeCell ref="HFG1:HFJ1"/>
    <mergeCell ref="HDO1:HDR1"/>
    <mergeCell ref="HDS1:HDV1"/>
    <mergeCell ref="HDW1:HDZ1"/>
    <mergeCell ref="HEA1:HED1"/>
    <mergeCell ref="HEE1:HEH1"/>
    <mergeCell ref="HEI1:HEL1"/>
    <mergeCell ref="HCQ1:HCT1"/>
    <mergeCell ref="HCU1:HCX1"/>
    <mergeCell ref="HCY1:HDB1"/>
    <mergeCell ref="HDC1:HDF1"/>
    <mergeCell ref="HDG1:HDJ1"/>
    <mergeCell ref="HDK1:HDN1"/>
    <mergeCell ref="HBS1:HBV1"/>
    <mergeCell ref="HBW1:HBZ1"/>
    <mergeCell ref="HCA1:HCD1"/>
    <mergeCell ref="HCE1:HCH1"/>
    <mergeCell ref="HCI1:HCL1"/>
    <mergeCell ref="HCM1:HCP1"/>
    <mergeCell ref="HAU1:HAX1"/>
    <mergeCell ref="HAY1:HBB1"/>
    <mergeCell ref="HBC1:HBF1"/>
    <mergeCell ref="HBG1:HBJ1"/>
    <mergeCell ref="HBK1:HBN1"/>
    <mergeCell ref="HBO1:HBR1"/>
    <mergeCell ref="GZW1:GZZ1"/>
    <mergeCell ref="HAA1:HAD1"/>
    <mergeCell ref="HAE1:HAH1"/>
    <mergeCell ref="HAI1:HAL1"/>
    <mergeCell ref="HAM1:HAP1"/>
    <mergeCell ref="HAQ1:HAT1"/>
    <mergeCell ref="GYY1:GZB1"/>
    <mergeCell ref="GZC1:GZF1"/>
    <mergeCell ref="GZG1:GZJ1"/>
    <mergeCell ref="GZK1:GZN1"/>
    <mergeCell ref="GZO1:GZR1"/>
    <mergeCell ref="GZS1:GZV1"/>
    <mergeCell ref="GYA1:GYD1"/>
    <mergeCell ref="GYE1:GYH1"/>
    <mergeCell ref="GYI1:GYL1"/>
    <mergeCell ref="GYM1:GYP1"/>
    <mergeCell ref="GYQ1:GYT1"/>
    <mergeCell ref="GYU1:GYX1"/>
    <mergeCell ref="GXC1:GXF1"/>
    <mergeCell ref="GXG1:GXJ1"/>
    <mergeCell ref="GXK1:GXN1"/>
    <mergeCell ref="GXO1:GXR1"/>
    <mergeCell ref="GXS1:GXV1"/>
    <mergeCell ref="GXW1:GXZ1"/>
    <mergeCell ref="GWE1:GWH1"/>
    <mergeCell ref="GWI1:GWL1"/>
    <mergeCell ref="GWM1:GWP1"/>
    <mergeCell ref="GWQ1:GWT1"/>
    <mergeCell ref="GWU1:GWX1"/>
    <mergeCell ref="GWY1:GXB1"/>
    <mergeCell ref="GVG1:GVJ1"/>
    <mergeCell ref="GVK1:GVN1"/>
    <mergeCell ref="GVO1:GVR1"/>
    <mergeCell ref="GVS1:GVV1"/>
    <mergeCell ref="GVW1:GVZ1"/>
    <mergeCell ref="GWA1:GWD1"/>
    <mergeCell ref="GUI1:GUL1"/>
    <mergeCell ref="GUM1:GUP1"/>
    <mergeCell ref="GUQ1:GUT1"/>
    <mergeCell ref="GUU1:GUX1"/>
    <mergeCell ref="GUY1:GVB1"/>
    <mergeCell ref="GVC1:GVF1"/>
    <mergeCell ref="GTK1:GTN1"/>
    <mergeCell ref="GTO1:GTR1"/>
    <mergeCell ref="GTS1:GTV1"/>
    <mergeCell ref="GTW1:GTZ1"/>
    <mergeCell ref="GUA1:GUD1"/>
    <mergeCell ref="GUE1:GUH1"/>
    <mergeCell ref="GSM1:GSP1"/>
    <mergeCell ref="GSQ1:GST1"/>
    <mergeCell ref="GSU1:GSX1"/>
    <mergeCell ref="GSY1:GTB1"/>
    <mergeCell ref="GTC1:GTF1"/>
    <mergeCell ref="GTG1:GTJ1"/>
    <mergeCell ref="GRO1:GRR1"/>
    <mergeCell ref="GRS1:GRV1"/>
    <mergeCell ref="GRW1:GRZ1"/>
    <mergeCell ref="GSA1:GSD1"/>
    <mergeCell ref="GSE1:GSH1"/>
    <mergeCell ref="GSI1:GSL1"/>
    <mergeCell ref="GQQ1:GQT1"/>
    <mergeCell ref="GQU1:GQX1"/>
    <mergeCell ref="GQY1:GRB1"/>
    <mergeCell ref="GRC1:GRF1"/>
    <mergeCell ref="GRG1:GRJ1"/>
    <mergeCell ref="GRK1:GRN1"/>
    <mergeCell ref="GPS1:GPV1"/>
    <mergeCell ref="GPW1:GPZ1"/>
    <mergeCell ref="GQA1:GQD1"/>
    <mergeCell ref="GQE1:GQH1"/>
    <mergeCell ref="GQI1:GQL1"/>
    <mergeCell ref="GQM1:GQP1"/>
    <mergeCell ref="GOU1:GOX1"/>
    <mergeCell ref="GOY1:GPB1"/>
    <mergeCell ref="GPC1:GPF1"/>
    <mergeCell ref="GPG1:GPJ1"/>
    <mergeCell ref="GPK1:GPN1"/>
    <mergeCell ref="GPO1:GPR1"/>
    <mergeCell ref="GNW1:GNZ1"/>
    <mergeCell ref="GOA1:GOD1"/>
    <mergeCell ref="GOE1:GOH1"/>
    <mergeCell ref="GOI1:GOL1"/>
    <mergeCell ref="GOM1:GOP1"/>
    <mergeCell ref="GOQ1:GOT1"/>
    <mergeCell ref="GMY1:GNB1"/>
    <mergeCell ref="GNC1:GNF1"/>
    <mergeCell ref="GNG1:GNJ1"/>
    <mergeCell ref="GNK1:GNN1"/>
    <mergeCell ref="GNO1:GNR1"/>
    <mergeCell ref="GNS1:GNV1"/>
    <mergeCell ref="GMA1:GMD1"/>
    <mergeCell ref="GME1:GMH1"/>
    <mergeCell ref="GMI1:GML1"/>
    <mergeCell ref="GMM1:GMP1"/>
    <mergeCell ref="GMQ1:GMT1"/>
    <mergeCell ref="GMU1:GMX1"/>
    <mergeCell ref="GLC1:GLF1"/>
    <mergeCell ref="GLG1:GLJ1"/>
    <mergeCell ref="GLK1:GLN1"/>
    <mergeCell ref="GLO1:GLR1"/>
    <mergeCell ref="GLS1:GLV1"/>
    <mergeCell ref="GLW1:GLZ1"/>
    <mergeCell ref="GKE1:GKH1"/>
    <mergeCell ref="GKI1:GKL1"/>
    <mergeCell ref="GKM1:GKP1"/>
    <mergeCell ref="GKQ1:GKT1"/>
    <mergeCell ref="GKU1:GKX1"/>
    <mergeCell ref="GKY1:GLB1"/>
    <mergeCell ref="GJG1:GJJ1"/>
    <mergeCell ref="GJK1:GJN1"/>
    <mergeCell ref="GJO1:GJR1"/>
    <mergeCell ref="GJS1:GJV1"/>
    <mergeCell ref="GJW1:GJZ1"/>
    <mergeCell ref="GKA1:GKD1"/>
    <mergeCell ref="GII1:GIL1"/>
    <mergeCell ref="GIM1:GIP1"/>
    <mergeCell ref="GIQ1:GIT1"/>
    <mergeCell ref="GIU1:GIX1"/>
    <mergeCell ref="GIY1:GJB1"/>
    <mergeCell ref="GJC1:GJF1"/>
    <mergeCell ref="GHK1:GHN1"/>
    <mergeCell ref="GHO1:GHR1"/>
    <mergeCell ref="GHS1:GHV1"/>
    <mergeCell ref="GHW1:GHZ1"/>
    <mergeCell ref="GIA1:GID1"/>
    <mergeCell ref="GIE1:GIH1"/>
    <mergeCell ref="GGM1:GGP1"/>
    <mergeCell ref="GGQ1:GGT1"/>
    <mergeCell ref="GGU1:GGX1"/>
    <mergeCell ref="GGY1:GHB1"/>
    <mergeCell ref="GHC1:GHF1"/>
    <mergeCell ref="GHG1:GHJ1"/>
    <mergeCell ref="GFO1:GFR1"/>
    <mergeCell ref="GFS1:GFV1"/>
    <mergeCell ref="GFW1:GFZ1"/>
    <mergeCell ref="GGA1:GGD1"/>
    <mergeCell ref="GGE1:GGH1"/>
    <mergeCell ref="GGI1:GGL1"/>
    <mergeCell ref="GEQ1:GET1"/>
    <mergeCell ref="GEU1:GEX1"/>
    <mergeCell ref="GEY1:GFB1"/>
    <mergeCell ref="GFC1:GFF1"/>
    <mergeCell ref="GFG1:GFJ1"/>
    <mergeCell ref="GFK1:GFN1"/>
    <mergeCell ref="GDS1:GDV1"/>
    <mergeCell ref="GDW1:GDZ1"/>
    <mergeCell ref="GEA1:GED1"/>
    <mergeCell ref="GEE1:GEH1"/>
    <mergeCell ref="GEI1:GEL1"/>
    <mergeCell ref="GEM1:GEP1"/>
    <mergeCell ref="GCU1:GCX1"/>
    <mergeCell ref="GCY1:GDB1"/>
    <mergeCell ref="GDC1:GDF1"/>
    <mergeCell ref="GDG1:GDJ1"/>
    <mergeCell ref="GDK1:GDN1"/>
    <mergeCell ref="GDO1:GDR1"/>
    <mergeCell ref="GBW1:GBZ1"/>
    <mergeCell ref="GCA1:GCD1"/>
    <mergeCell ref="GCE1:GCH1"/>
    <mergeCell ref="GCI1:GCL1"/>
    <mergeCell ref="GCM1:GCP1"/>
    <mergeCell ref="GCQ1:GCT1"/>
    <mergeCell ref="GAY1:GBB1"/>
    <mergeCell ref="GBC1:GBF1"/>
    <mergeCell ref="GBG1:GBJ1"/>
    <mergeCell ref="GBK1:GBN1"/>
    <mergeCell ref="GBO1:GBR1"/>
    <mergeCell ref="GBS1:GBV1"/>
    <mergeCell ref="GAA1:GAD1"/>
    <mergeCell ref="GAE1:GAH1"/>
    <mergeCell ref="GAI1:GAL1"/>
    <mergeCell ref="GAM1:GAP1"/>
    <mergeCell ref="GAQ1:GAT1"/>
    <mergeCell ref="GAU1:GAX1"/>
    <mergeCell ref="FZC1:FZF1"/>
    <mergeCell ref="FZG1:FZJ1"/>
    <mergeCell ref="FZK1:FZN1"/>
    <mergeCell ref="FZO1:FZR1"/>
    <mergeCell ref="FZS1:FZV1"/>
    <mergeCell ref="FZW1:FZZ1"/>
    <mergeCell ref="FYE1:FYH1"/>
    <mergeCell ref="FYI1:FYL1"/>
    <mergeCell ref="FYM1:FYP1"/>
    <mergeCell ref="FYQ1:FYT1"/>
    <mergeCell ref="FYU1:FYX1"/>
    <mergeCell ref="FYY1:FZB1"/>
    <mergeCell ref="FXG1:FXJ1"/>
    <mergeCell ref="FXK1:FXN1"/>
    <mergeCell ref="FXO1:FXR1"/>
    <mergeCell ref="FXS1:FXV1"/>
    <mergeCell ref="FXW1:FXZ1"/>
    <mergeCell ref="FYA1:FYD1"/>
    <mergeCell ref="FWI1:FWL1"/>
    <mergeCell ref="FWM1:FWP1"/>
    <mergeCell ref="FWQ1:FWT1"/>
    <mergeCell ref="FWU1:FWX1"/>
    <mergeCell ref="FWY1:FXB1"/>
    <mergeCell ref="FXC1:FXF1"/>
    <mergeCell ref="FVK1:FVN1"/>
    <mergeCell ref="FVO1:FVR1"/>
    <mergeCell ref="FVS1:FVV1"/>
    <mergeCell ref="FVW1:FVZ1"/>
    <mergeCell ref="FWA1:FWD1"/>
    <mergeCell ref="FWE1:FWH1"/>
    <mergeCell ref="FUM1:FUP1"/>
    <mergeCell ref="FUQ1:FUT1"/>
    <mergeCell ref="FUU1:FUX1"/>
    <mergeCell ref="FUY1:FVB1"/>
    <mergeCell ref="FVC1:FVF1"/>
    <mergeCell ref="FVG1:FVJ1"/>
    <mergeCell ref="FTO1:FTR1"/>
    <mergeCell ref="FTS1:FTV1"/>
    <mergeCell ref="FTW1:FTZ1"/>
    <mergeCell ref="FUA1:FUD1"/>
    <mergeCell ref="FUE1:FUH1"/>
    <mergeCell ref="FUI1:FUL1"/>
    <mergeCell ref="FSQ1:FST1"/>
    <mergeCell ref="FSU1:FSX1"/>
    <mergeCell ref="FSY1:FTB1"/>
    <mergeCell ref="FTC1:FTF1"/>
    <mergeCell ref="FTG1:FTJ1"/>
    <mergeCell ref="FTK1:FTN1"/>
    <mergeCell ref="FRS1:FRV1"/>
    <mergeCell ref="FRW1:FRZ1"/>
    <mergeCell ref="FSA1:FSD1"/>
    <mergeCell ref="FSE1:FSH1"/>
    <mergeCell ref="FSI1:FSL1"/>
    <mergeCell ref="FSM1:FSP1"/>
    <mergeCell ref="FQU1:FQX1"/>
    <mergeCell ref="FQY1:FRB1"/>
    <mergeCell ref="FRC1:FRF1"/>
    <mergeCell ref="FRG1:FRJ1"/>
    <mergeCell ref="FRK1:FRN1"/>
    <mergeCell ref="FRO1:FRR1"/>
    <mergeCell ref="FPW1:FPZ1"/>
    <mergeCell ref="FQA1:FQD1"/>
    <mergeCell ref="FQE1:FQH1"/>
    <mergeCell ref="FQI1:FQL1"/>
    <mergeCell ref="FQM1:FQP1"/>
    <mergeCell ref="FQQ1:FQT1"/>
    <mergeCell ref="FOY1:FPB1"/>
    <mergeCell ref="FPC1:FPF1"/>
    <mergeCell ref="FPG1:FPJ1"/>
    <mergeCell ref="FPK1:FPN1"/>
    <mergeCell ref="FPO1:FPR1"/>
    <mergeCell ref="FPS1:FPV1"/>
    <mergeCell ref="FOA1:FOD1"/>
    <mergeCell ref="FOE1:FOH1"/>
    <mergeCell ref="FOI1:FOL1"/>
    <mergeCell ref="FOM1:FOP1"/>
    <mergeCell ref="FOQ1:FOT1"/>
    <mergeCell ref="FOU1:FOX1"/>
    <mergeCell ref="FNC1:FNF1"/>
    <mergeCell ref="FNG1:FNJ1"/>
    <mergeCell ref="FNK1:FNN1"/>
    <mergeCell ref="FNO1:FNR1"/>
    <mergeCell ref="FNS1:FNV1"/>
    <mergeCell ref="FNW1:FNZ1"/>
    <mergeCell ref="FME1:FMH1"/>
    <mergeCell ref="FMI1:FML1"/>
    <mergeCell ref="FMM1:FMP1"/>
    <mergeCell ref="FMQ1:FMT1"/>
    <mergeCell ref="FMU1:FMX1"/>
    <mergeCell ref="FMY1:FNB1"/>
    <mergeCell ref="FLG1:FLJ1"/>
    <mergeCell ref="FLK1:FLN1"/>
    <mergeCell ref="FLO1:FLR1"/>
    <mergeCell ref="FLS1:FLV1"/>
    <mergeCell ref="FLW1:FLZ1"/>
    <mergeCell ref="FMA1:FMD1"/>
    <mergeCell ref="FKI1:FKL1"/>
    <mergeCell ref="FKM1:FKP1"/>
    <mergeCell ref="FKQ1:FKT1"/>
    <mergeCell ref="FKU1:FKX1"/>
    <mergeCell ref="FKY1:FLB1"/>
    <mergeCell ref="FLC1:FLF1"/>
    <mergeCell ref="FJK1:FJN1"/>
    <mergeCell ref="FJO1:FJR1"/>
    <mergeCell ref="FJS1:FJV1"/>
    <mergeCell ref="FJW1:FJZ1"/>
    <mergeCell ref="FKA1:FKD1"/>
    <mergeCell ref="FKE1:FKH1"/>
    <mergeCell ref="FIM1:FIP1"/>
    <mergeCell ref="FIQ1:FIT1"/>
    <mergeCell ref="FIU1:FIX1"/>
    <mergeCell ref="FIY1:FJB1"/>
    <mergeCell ref="FJC1:FJF1"/>
    <mergeCell ref="FJG1:FJJ1"/>
    <mergeCell ref="FHO1:FHR1"/>
    <mergeCell ref="FHS1:FHV1"/>
    <mergeCell ref="FHW1:FHZ1"/>
    <mergeCell ref="FIA1:FID1"/>
    <mergeCell ref="FIE1:FIH1"/>
    <mergeCell ref="FII1:FIL1"/>
    <mergeCell ref="FGQ1:FGT1"/>
    <mergeCell ref="FGU1:FGX1"/>
    <mergeCell ref="FGY1:FHB1"/>
    <mergeCell ref="FHC1:FHF1"/>
    <mergeCell ref="FHG1:FHJ1"/>
    <mergeCell ref="FHK1:FHN1"/>
    <mergeCell ref="FFS1:FFV1"/>
    <mergeCell ref="FFW1:FFZ1"/>
    <mergeCell ref="FGA1:FGD1"/>
    <mergeCell ref="FGE1:FGH1"/>
    <mergeCell ref="FGI1:FGL1"/>
    <mergeCell ref="FGM1:FGP1"/>
    <mergeCell ref="FEU1:FEX1"/>
    <mergeCell ref="FEY1:FFB1"/>
    <mergeCell ref="FFC1:FFF1"/>
    <mergeCell ref="FFG1:FFJ1"/>
    <mergeCell ref="FFK1:FFN1"/>
    <mergeCell ref="FFO1:FFR1"/>
    <mergeCell ref="FDW1:FDZ1"/>
    <mergeCell ref="FEA1:FED1"/>
    <mergeCell ref="FEE1:FEH1"/>
    <mergeCell ref="FEI1:FEL1"/>
    <mergeCell ref="FEM1:FEP1"/>
    <mergeCell ref="FEQ1:FET1"/>
    <mergeCell ref="FCY1:FDB1"/>
    <mergeCell ref="FDC1:FDF1"/>
    <mergeCell ref="FDG1:FDJ1"/>
    <mergeCell ref="FDK1:FDN1"/>
    <mergeCell ref="FDO1:FDR1"/>
    <mergeCell ref="FDS1:FDV1"/>
    <mergeCell ref="FCA1:FCD1"/>
    <mergeCell ref="FCE1:FCH1"/>
    <mergeCell ref="FCI1:FCL1"/>
    <mergeCell ref="FCM1:FCP1"/>
    <mergeCell ref="FCQ1:FCT1"/>
    <mergeCell ref="FCU1:FCX1"/>
    <mergeCell ref="FBC1:FBF1"/>
    <mergeCell ref="FBG1:FBJ1"/>
    <mergeCell ref="FBK1:FBN1"/>
    <mergeCell ref="FBO1:FBR1"/>
    <mergeCell ref="FBS1:FBV1"/>
    <mergeCell ref="FBW1:FBZ1"/>
    <mergeCell ref="FAE1:FAH1"/>
    <mergeCell ref="FAI1:FAL1"/>
    <mergeCell ref="FAM1:FAP1"/>
    <mergeCell ref="FAQ1:FAT1"/>
    <mergeCell ref="FAU1:FAX1"/>
    <mergeCell ref="FAY1:FBB1"/>
    <mergeCell ref="EZG1:EZJ1"/>
    <mergeCell ref="EZK1:EZN1"/>
    <mergeCell ref="EZO1:EZR1"/>
    <mergeCell ref="EZS1:EZV1"/>
    <mergeCell ref="EZW1:EZZ1"/>
    <mergeCell ref="FAA1:FAD1"/>
    <mergeCell ref="EYI1:EYL1"/>
    <mergeCell ref="EYM1:EYP1"/>
    <mergeCell ref="EYQ1:EYT1"/>
    <mergeCell ref="EYU1:EYX1"/>
    <mergeCell ref="EYY1:EZB1"/>
    <mergeCell ref="EZC1:EZF1"/>
    <mergeCell ref="EXK1:EXN1"/>
    <mergeCell ref="EXO1:EXR1"/>
    <mergeCell ref="EXS1:EXV1"/>
    <mergeCell ref="EXW1:EXZ1"/>
    <mergeCell ref="EYA1:EYD1"/>
    <mergeCell ref="EYE1:EYH1"/>
    <mergeCell ref="EWM1:EWP1"/>
    <mergeCell ref="EWQ1:EWT1"/>
    <mergeCell ref="EWU1:EWX1"/>
    <mergeCell ref="EWY1:EXB1"/>
    <mergeCell ref="EXC1:EXF1"/>
    <mergeCell ref="EXG1:EXJ1"/>
    <mergeCell ref="EVO1:EVR1"/>
    <mergeCell ref="EVS1:EVV1"/>
    <mergeCell ref="EVW1:EVZ1"/>
    <mergeCell ref="EWA1:EWD1"/>
    <mergeCell ref="EWE1:EWH1"/>
    <mergeCell ref="EWI1:EWL1"/>
    <mergeCell ref="EUQ1:EUT1"/>
    <mergeCell ref="EUU1:EUX1"/>
    <mergeCell ref="EUY1:EVB1"/>
    <mergeCell ref="EVC1:EVF1"/>
    <mergeCell ref="EVG1:EVJ1"/>
    <mergeCell ref="EVK1:EVN1"/>
    <mergeCell ref="ETS1:ETV1"/>
    <mergeCell ref="ETW1:ETZ1"/>
    <mergeCell ref="EUA1:EUD1"/>
    <mergeCell ref="EUE1:EUH1"/>
    <mergeCell ref="EUI1:EUL1"/>
    <mergeCell ref="EUM1:EUP1"/>
    <mergeCell ref="ESU1:ESX1"/>
    <mergeCell ref="ESY1:ETB1"/>
    <mergeCell ref="ETC1:ETF1"/>
    <mergeCell ref="ETG1:ETJ1"/>
    <mergeCell ref="ETK1:ETN1"/>
    <mergeCell ref="ETO1:ETR1"/>
    <mergeCell ref="ERW1:ERZ1"/>
    <mergeCell ref="ESA1:ESD1"/>
    <mergeCell ref="ESE1:ESH1"/>
    <mergeCell ref="ESI1:ESL1"/>
    <mergeCell ref="ESM1:ESP1"/>
    <mergeCell ref="ESQ1:EST1"/>
    <mergeCell ref="EQY1:ERB1"/>
    <mergeCell ref="ERC1:ERF1"/>
    <mergeCell ref="ERG1:ERJ1"/>
    <mergeCell ref="ERK1:ERN1"/>
    <mergeCell ref="ERO1:ERR1"/>
    <mergeCell ref="ERS1:ERV1"/>
    <mergeCell ref="EQA1:EQD1"/>
    <mergeCell ref="EQE1:EQH1"/>
    <mergeCell ref="EQI1:EQL1"/>
    <mergeCell ref="EQM1:EQP1"/>
    <mergeCell ref="EQQ1:EQT1"/>
    <mergeCell ref="EQU1:EQX1"/>
    <mergeCell ref="EPC1:EPF1"/>
    <mergeCell ref="EPG1:EPJ1"/>
    <mergeCell ref="EPK1:EPN1"/>
    <mergeCell ref="EPO1:EPR1"/>
    <mergeCell ref="EPS1:EPV1"/>
    <mergeCell ref="EPW1:EPZ1"/>
    <mergeCell ref="EOE1:EOH1"/>
    <mergeCell ref="EOI1:EOL1"/>
    <mergeCell ref="EOM1:EOP1"/>
    <mergeCell ref="EOQ1:EOT1"/>
    <mergeCell ref="EOU1:EOX1"/>
    <mergeCell ref="EOY1:EPB1"/>
    <mergeCell ref="ENG1:ENJ1"/>
    <mergeCell ref="ENK1:ENN1"/>
    <mergeCell ref="ENO1:ENR1"/>
    <mergeCell ref="ENS1:ENV1"/>
    <mergeCell ref="ENW1:ENZ1"/>
    <mergeCell ref="EOA1:EOD1"/>
    <mergeCell ref="EMI1:EML1"/>
    <mergeCell ref="EMM1:EMP1"/>
    <mergeCell ref="EMQ1:EMT1"/>
    <mergeCell ref="EMU1:EMX1"/>
    <mergeCell ref="EMY1:ENB1"/>
    <mergeCell ref="ENC1:ENF1"/>
    <mergeCell ref="ELK1:ELN1"/>
    <mergeCell ref="ELO1:ELR1"/>
    <mergeCell ref="ELS1:ELV1"/>
    <mergeCell ref="ELW1:ELZ1"/>
    <mergeCell ref="EMA1:EMD1"/>
    <mergeCell ref="EME1:EMH1"/>
    <mergeCell ref="EKM1:EKP1"/>
    <mergeCell ref="EKQ1:EKT1"/>
    <mergeCell ref="EKU1:EKX1"/>
    <mergeCell ref="EKY1:ELB1"/>
    <mergeCell ref="ELC1:ELF1"/>
    <mergeCell ref="ELG1:ELJ1"/>
    <mergeCell ref="EJO1:EJR1"/>
    <mergeCell ref="EJS1:EJV1"/>
    <mergeCell ref="EJW1:EJZ1"/>
    <mergeCell ref="EKA1:EKD1"/>
    <mergeCell ref="EKE1:EKH1"/>
    <mergeCell ref="EKI1:EKL1"/>
    <mergeCell ref="EIQ1:EIT1"/>
    <mergeCell ref="EIU1:EIX1"/>
    <mergeCell ref="EIY1:EJB1"/>
    <mergeCell ref="EJC1:EJF1"/>
    <mergeCell ref="EJG1:EJJ1"/>
    <mergeCell ref="EJK1:EJN1"/>
    <mergeCell ref="EHS1:EHV1"/>
    <mergeCell ref="EHW1:EHZ1"/>
    <mergeCell ref="EIA1:EID1"/>
    <mergeCell ref="EIE1:EIH1"/>
    <mergeCell ref="EII1:EIL1"/>
    <mergeCell ref="EIM1:EIP1"/>
    <mergeCell ref="EGU1:EGX1"/>
    <mergeCell ref="EGY1:EHB1"/>
    <mergeCell ref="EHC1:EHF1"/>
    <mergeCell ref="EHG1:EHJ1"/>
    <mergeCell ref="EHK1:EHN1"/>
    <mergeCell ref="EHO1:EHR1"/>
    <mergeCell ref="EFW1:EFZ1"/>
    <mergeCell ref="EGA1:EGD1"/>
    <mergeCell ref="EGE1:EGH1"/>
    <mergeCell ref="EGI1:EGL1"/>
    <mergeCell ref="EGM1:EGP1"/>
    <mergeCell ref="EGQ1:EGT1"/>
    <mergeCell ref="EEY1:EFB1"/>
    <mergeCell ref="EFC1:EFF1"/>
    <mergeCell ref="EFG1:EFJ1"/>
    <mergeCell ref="EFK1:EFN1"/>
    <mergeCell ref="EFO1:EFR1"/>
    <mergeCell ref="EFS1:EFV1"/>
    <mergeCell ref="EEA1:EED1"/>
    <mergeCell ref="EEE1:EEH1"/>
    <mergeCell ref="EEI1:EEL1"/>
    <mergeCell ref="EEM1:EEP1"/>
    <mergeCell ref="EEQ1:EET1"/>
    <mergeCell ref="EEU1:EEX1"/>
    <mergeCell ref="EDC1:EDF1"/>
    <mergeCell ref="EDG1:EDJ1"/>
    <mergeCell ref="EDK1:EDN1"/>
    <mergeCell ref="EDO1:EDR1"/>
    <mergeCell ref="EDS1:EDV1"/>
    <mergeCell ref="EDW1:EDZ1"/>
    <mergeCell ref="ECE1:ECH1"/>
    <mergeCell ref="ECI1:ECL1"/>
    <mergeCell ref="ECM1:ECP1"/>
    <mergeCell ref="ECQ1:ECT1"/>
    <mergeCell ref="ECU1:ECX1"/>
    <mergeCell ref="ECY1:EDB1"/>
    <mergeCell ref="EBG1:EBJ1"/>
    <mergeCell ref="EBK1:EBN1"/>
    <mergeCell ref="EBO1:EBR1"/>
    <mergeCell ref="EBS1:EBV1"/>
    <mergeCell ref="EBW1:EBZ1"/>
    <mergeCell ref="ECA1:ECD1"/>
    <mergeCell ref="EAI1:EAL1"/>
    <mergeCell ref="EAM1:EAP1"/>
    <mergeCell ref="EAQ1:EAT1"/>
    <mergeCell ref="EAU1:EAX1"/>
    <mergeCell ref="EAY1:EBB1"/>
    <mergeCell ref="EBC1:EBF1"/>
    <mergeCell ref="DZK1:DZN1"/>
    <mergeCell ref="DZO1:DZR1"/>
    <mergeCell ref="DZS1:DZV1"/>
    <mergeCell ref="DZW1:DZZ1"/>
    <mergeCell ref="EAA1:EAD1"/>
    <mergeCell ref="EAE1:EAH1"/>
    <mergeCell ref="DYM1:DYP1"/>
    <mergeCell ref="DYQ1:DYT1"/>
    <mergeCell ref="DYU1:DYX1"/>
    <mergeCell ref="DYY1:DZB1"/>
    <mergeCell ref="DZC1:DZF1"/>
    <mergeCell ref="DZG1:DZJ1"/>
    <mergeCell ref="DXO1:DXR1"/>
    <mergeCell ref="DXS1:DXV1"/>
    <mergeCell ref="DXW1:DXZ1"/>
    <mergeCell ref="DYA1:DYD1"/>
    <mergeCell ref="DYE1:DYH1"/>
    <mergeCell ref="DYI1:DYL1"/>
    <mergeCell ref="DWQ1:DWT1"/>
    <mergeCell ref="DWU1:DWX1"/>
    <mergeCell ref="DWY1:DXB1"/>
    <mergeCell ref="DXC1:DXF1"/>
    <mergeCell ref="DXG1:DXJ1"/>
    <mergeCell ref="DXK1:DXN1"/>
    <mergeCell ref="DVS1:DVV1"/>
    <mergeCell ref="DVW1:DVZ1"/>
    <mergeCell ref="DWA1:DWD1"/>
    <mergeCell ref="DWE1:DWH1"/>
    <mergeCell ref="DWI1:DWL1"/>
    <mergeCell ref="DWM1:DWP1"/>
    <mergeCell ref="DUU1:DUX1"/>
    <mergeCell ref="DUY1:DVB1"/>
    <mergeCell ref="DVC1:DVF1"/>
    <mergeCell ref="DVG1:DVJ1"/>
    <mergeCell ref="DVK1:DVN1"/>
    <mergeCell ref="DVO1:DVR1"/>
    <mergeCell ref="DTW1:DTZ1"/>
    <mergeCell ref="DUA1:DUD1"/>
    <mergeCell ref="DUE1:DUH1"/>
    <mergeCell ref="DUI1:DUL1"/>
    <mergeCell ref="DUM1:DUP1"/>
    <mergeCell ref="DUQ1:DUT1"/>
    <mergeCell ref="DSY1:DTB1"/>
    <mergeCell ref="DTC1:DTF1"/>
    <mergeCell ref="DTG1:DTJ1"/>
    <mergeCell ref="DTK1:DTN1"/>
    <mergeCell ref="DTO1:DTR1"/>
    <mergeCell ref="DTS1:DTV1"/>
    <mergeCell ref="DSA1:DSD1"/>
    <mergeCell ref="DSE1:DSH1"/>
    <mergeCell ref="DSI1:DSL1"/>
    <mergeCell ref="DSM1:DSP1"/>
    <mergeCell ref="DSQ1:DST1"/>
    <mergeCell ref="DSU1:DSX1"/>
    <mergeCell ref="DRC1:DRF1"/>
    <mergeCell ref="DRG1:DRJ1"/>
    <mergeCell ref="DRK1:DRN1"/>
    <mergeCell ref="DRO1:DRR1"/>
    <mergeCell ref="DRS1:DRV1"/>
    <mergeCell ref="DRW1:DRZ1"/>
    <mergeCell ref="DQE1:DQH1"/>
    <mergeCell ref="DQI1:DQL1"/>
    <mergeCell ref="DQM1:DQP1"/>
    <mergeCell ref="DQQ1:DQT1"/>
    <mergeCell ref="DQU1:DQX1"/>
    <mergeCell ref="DQY1:DRB1"/>
    <mergeCell ref="DPG1:DPJ1"/>
    <mergeCell ref="DPK1:DPN1"/>
    <mergeCell ref="DPO1:DPR1"/>
    <mergeCell ref="DPS1:DPV1"/>
    <mergeCell ref="DPW1:DPZ1"/>
    <mergeCell ref="DQA1:DQD1"/>
    <mergeCell ref="DOI1:DOL1"/>
    <mergeCell ref="DOM1:DOP1"/>
    <mergeCell ref="DOQ1:DOT1"/>
    <mergeCell ref="DOU1:DOX1"/>
    <mergeCell ref="DOY1:DPB1"/>
    <mergeCell ref="DPC1:DPF1"/>
    <mergeCell ref="DNK1:DNN1"/>
    <mergeCell ref="DNO1:DNR1"/>
    <mergeCell ref="DNS1:DNV1"/>
    <mergeCell ref="DNW1:DNZ1"/>
    <mergeCell ref="DOA1:DOD1"/>
    <mergeCell ref="DOE1:DOH1"/>
    <mergeCell ref="DMM1:DMP1"/>
    <mergeCell ref="DMQ1:DMT1"/>
    <mergeCell ref="DMU1:DMX1"/>
    <mergeCell ref="DMY1:DNB1"/>
    <mergeCell ref="DNC1:DNF1"/>
    <mergeCell ref="DNG1:DNJ1"/>
    <mergeCell ref="DLO1:DLR1"/>
    <mergeCell ref="DLS1:DLV1"/>
    <mergeCell ref="DLW1:DLZ1"/>
    <mergeCell ref="DMA1:DMD1"/>
    <mergeCell ref="DME1:DMH1"/>
    <mergeCell ref="DMI1:DML1"/>
    <mergeCell ref="DKQ1:DKT1"/>
    <mergeCell ref="DKU1:DKX1"/>
    <mergeCell ref="DKY1:DLB1"/>
    <mergeCell ref="DLC1:DLF1"/>
    <mergeCell ref="DLG1:DLJ1"/>
    <mergeCell ref="DLK1:DLN1"/>
    <mergeCell ref="DJS1:DJV1"/>
    <mergeCell ref="DJW1:DJZ1"/>
    <mergeCell ref="DKA1:DKD1"/>
    <mergeCell ref="DKE1:DKH1"/>
    <mergeCell ref="DKI1:DKL1"/>
    <mergeCell ref="DKM1:DKP1"/>
    <mergeCell ref="DIU1:DIX1"/>
    <mergeCell ref="DIY1:DJB1"/>
    <mergeCell ref="DJC1:DJF1"/>
    <mergeCell ref="DJG1:DJJ1"/>
    <mergeCell ref="DJK1:DJN1"/>
    <mergeCell ref="DJO1:DJR1"/>
    <mergeCell ref="DHW1:DHZ1"/>
    <mergeCell ref="DIA1:DID1"/>
    <mergeCell ref="DIE1:DIH1"/>
    <mergeCell ref="DII1:DIL1"/>
    <mergeCell ref="DIM1:DIP1"/>
    <mergeCell ref="DIQ1:DIT1"/>
    <mergeCell ref="DGY1:DHB1"/>
    <mergeCell ref="DHC1:DHF1"/>
    <mergeCell ref="DHG1:DHJ1"/>
    <mergeCell ref="DHK1:DHN1"/>
    <mergeCell ref="DHO1:DHR1"/>
    <mergeCell ref="DHS1:DHV1"/>
    <mergeCell ref="DGA1:DGD1"/>
    <mergeCell ref="DGE1:DGH1"/>
    <mergeCell ref="DGI1:DGL1"/>
    <mergeCell ref="DGM1:DGP1"/>
    <mergeCell ref="DGQ1:DGT1"/>
    <mergeCell ref="DGU1:DGX1"/>
    <mergeCell ref="DFC1:DFF1"/>
    <mergeCell ref="DFG1:DFJ1"/>
    <mergeCell ref="DFK1:DFN1"/>
    <mergeCell ref="DFO1:DFR1"/>
    <mergeCell ref="DFS1:DFV1"/>
    <mergeCell ref="DFW1:DFZ1"/>
    <mergeCell ref="DEE1:DEH1"/>
    <mergeCell ref="DEI1:DEL1"/>
    <mergeCell ref="DEM1:DEP1"/>
    <mergeCell ref="DEQ1:DET1"/>
    <mergeCell ref="DEU1:DEX1"/>
    <mergeCell ref="DEY1:DFB1"/>
    <mergeCell ref="DDG1:DDJ1"/>
    <mergeCell ref="DDK1:DDN1"/>
    <mergeCell ref="DDO1:DDR1"/>
    <mergeCell ref="DDS1:DDV1"/>
    <mergeCell ref="DDW1:DDZ1"/>
    <mergeCell ref="DEA1:DED1"/>
    <mergeCell ref="DCI1:DCL1"/>
    <mergeCell ref="DCM1:DCP1"/>
    <mergeCell ref="DCQ1:DCT1"/>
    <mergeCell ref="DCU1:DCX1"/>
    <mergeCell ref="DCY1:DDB1"/>
    <mergeCell ref="DDC1:DDF1"/>
    <mergeCell ref="DBK1:DBN1"/>
    <mergeCell ref="DBO1:DBR1"/>
    <mergeCell ref="DBS1:DBV1"/>
    <mergeCell ref="DBW1:DBZ1"/>
    <mergeCell ref="DCA1:DCD1"/>
    <mergeCell ref="DCE1:DCH1"/>
    <mergeCell ref="DAM1:DAP1"/>
    <mergeCell ref="DAQ1:DAT1"/>
    <mergeCell ref="DAU1:DAX1"/>
    <mergeCell ref="DAY1:DBB1"/>
    <mergeCell ref="DBC1:DBF1"/>
    <mergeCell ref="DBG1:DBJ1"/>
    <mergeCell ref="CZO1:CZR1"/>
    <mergeCell ref="CZS1:CZV1"/>
    <mergeCell ref="CZW1:CZZ1"/>
    <mergeCell ref="DAA1:DAD1"/>
    <mergeCell ref="DAE1:DAH1"/>
    <mergeCell ref="DAI1:DAL1"/>
    <mergeCell ref="CYQ1:CYT1"/>
    <mergeCell ref="CYU1:CYX1"/>
    <mergeCell ref="CYY1:CZB1"/>
    <mergeCell ref="CZC1:CZF1"/>
    <mergeCell ref="CZG1:CZJ1"/>
    <mergeCell ref="CZK1:CZN1"/>
    <mergeCell ref="CXS1:CXV1"/>
    <mergeCell ref="CXW1:CXZ1"/>
    <mergeCell ref="CYA1:CYD1"/>
    <mergeCell ref="CYE1:CYH1"/>
    <mergeCell ref="CYI1:CYL1"/>
    <mergeCell ref="CYM1:CYP1"/>
    <mergeCell ref="CWU1:CWX1"/>
    <mergeCell ref="CWY1:CXB1"/>
    <mergeCell ref="CXC1:CXF1"/>
    <mergeCell ref="CXG1:CXJ1"/>
    <mergeCell ref="CXK1:CXN1"/>
    <mergeCell ref="CXO1:CXR1"/>
    <mergeCell ref="CVW1:CVZ1"/>
    <mergeCell ref="CWA1:CWD1"/>
    <mergeCell ref="CWE1:CWH1"/>
    <mergeCell ref="CWI1:CWL1"/>
    <mergeCell ref="CWM1:CWP1"/>
    <mergeCell ref="CWQ1:CWT1"/>
    <mergeCell ref="CUY1:CVB1"/>
    <mergeCell ref="CVC1:CVF1"/>
    <mergeCell ref="CVG1:CVJ1"/>
    <mergeCell ref="CVK1:CVN1"/>
    <mergeCell ref="CVO1:CVR1"/>
    <mergeCell ref="CVS1:CVV1"/>
    <mergeCell ref="CUA1:CUD1"/>
    <mergeCell ref="CUE1:CUH1"/>
    <mergeCell ref="CUI1:CUL1"/>
    <mergeCell ref="CUM1:CUP1"/>
    <mergeCell ref="CUQ1:CUT1"/>
    <mergeCell ref="CUU1:CUX1"/>
    <mergeCell ref="CTC1:CTF1"/>
    <mergeCell ref="CTG1:CTJ1"/>
    <mergeCell ref="CTK1:CTN1"/>
    <mergeCell ref="CTO1:CTR1"/>
    <mergeCell ref="CTS1:CTV1"/>
    <mergeCell ref="CTW1:CTZ1"/>
    <mergeCell ref="CSE1:CSH1"/>
    <mergeCell ref="CSI1:CSL1"/>
    <mergeCell ref="CSM1:CSP1"/>
    <mergeCell ref="CSQ1:CST1"/>
    <mergeCell ref="CSU1:CSX1"/>
    <mergeCell ref="CSY1:CTB1"/>
    <mergeCell ref="CRG1:CRJ1"/>
    <mergeCell ref="CRK1:CRN1"/>
    <mergeCell ref="CRO1:CRR1"/>
    <mergeCell ref="CRS1:CRV1"/>
    <mergeCell ref="CRW1:CRZ1"/>
    <mergeCell ref="CSA1:CSD1"/>
    <mergeCell ref="CQI1:CQL1"/>
    <mergeCell ref="CQM1:CQP1"/>
    <mergeCell ref="CQQ1:CQT1"/>
    <mergeCell ref="CQU1:CQX1"/>
    <mergeCell ref="CQY1:CRB1"/>
    <mergeCell ref="CRC1:CRF1"/>
    <mergeCell ref="CPK1:CPN1"/>
    <mergeCell ref="CPO1:CPR1"/>
    <mergeCell ref="CPS1:CPV1"/>
    <mergeCell ref="CPW1:CPZ1"/>
    <mergeCell ref="CQA1:CQD1"/>
    <mergeCell ref="CQE1:CQH1"/>
    <mergeCell ref="COM1:COP1"/>
    <mergeCell ref="COQ1:COT1"/>
    <mergeCell ref="COU1:COX1"/>
    <mergeCell ref="COY1:CPB1"/>
    <mergeCell ref="CPC1:CPF1"/>
    <mergeCell ref="CPG1:CPJ1"/>
    <mergeCell ref="CNO1:CNR1"/>
    <mergeCell ref="CNS1:CNV1"/>
    <mergeCell ref="CNW1:CNZ1"/>
    <mergeCell ref="COA1:COD1"/>
    <mergeCell ref="COE1:COH1"/>
    <mergeCell ref="COI1:COL1"/>
    <mergeCell ref="CMQ1:CMT1"/>
    <mergeCell ref="CMU1:CMX1"/>
    <mergeCell ref="CMY1:CNB1"/>
    <mergeCell ref="CNC1:CNF1"/>
    <mergeCell ref="CNG1:CNJ1"/>
    <mergeCell ref="CNK1:CNN1"/>
    <mergeCell ref="CLS1:CLV1"/>
    <mergeCell ref="CLW1:CLZ1"/>
    <mergeCell ref="CMA1:CMD1"/>
    <mergeCell ref="CME1:CMH1"/>
    <mergeCell ref="CMI1:CML1"/>
    <mergeCell ref="CMM1:CMP1"/>
    <mergeCell ref="CKU1:CKX1"/>
    <mergeCell ref="CKY1:CLB1"/>
    <mergeCell ref="CLC1:CLF1"/>
    <mergeCell ref="CLG1:CLJ1"/>
    <mergeCell ref="CLK1:CLN1"/>
    <mergeCell ref="CLO1:CLR1"/>
    <mergeCell ref="CJW1:CJZ1"/>
    <mergeCell ref="CKA1:CKD1"/>
    <mergeCell ref="CKE1:CKH1"/>
    <mergeCell ref="CKI1:CKL1"/>
    <mergeCell ref="CKM1:CKP1"/>
    <mergeCell ref="CKQ1:CKT1"/>
    <mergeCell ref="CIY1:CJB1"/>
    <mergeCell ref="CJC1:CJF1"/>
    <mergeCell ref="CJG1:CJJ1"/>
    <mergeCell ref="CJK1:CJN1"/>
    <mergeCell ref="CJO1:CJR1"/>
    <mergeCell ref="CJS1:CJV1"/>
    <mergeCell ref="CIA1:CID1"/>
    <mergeCell ref="CIE1:CIH1"/>
    <mergeCell ref="CII1:CIL1"/>
    <mergeCell ref="CIM1:CIP1"/>
    <mergeCell ref="CIQ1:CIT1"/>
    <mergeCell ref="CIU1:CIX1"/>
    <mergeCell ref="CHC1:CHF1"/>
    <mergeCell ref="CHG1:CHJ1"/>
    <mergeCell ref="CHK1:CHN1"/>
    <mergeCell ref="CHO1:CHR1"/>
    <mergeCell ref="CHS1:CHV1"/>
    <mergeCell ref="CHW1:CHZ1"/>
    <mergeCell ref="CGE1:CGH1"/>
    <mergeCell ref="CGI1:CGL1"/>
    <mergeCell ref="CGM1:CGP1"/>
    <mergeCell ref="CGQ1:CGT1"/>
    <mergeCell ref="CGU1:CGX1"/>
    <mergeCell ref="CGY1:CHB1"/>
    <mergeCell ref="CFG1:CFJ1"/>
    <mergeCell ref="CFK1:CFN1"/>
    <mergeCell ref="CFO1:CFR1"/>
    <mergeCell ref="CFS1:CFV1"/>
    <mergeCell ref="CFW1:CFZ1"/>
    <mergeCell ref="CGA1:CGD1"/>
    <mergeCell ref="CEI1:CEL1"/>
    <mergeCell ref="CEM1:CEP1"/>
    <mergeCell ref="CEQ1:CET1"/>
    <mergeCell ref="CEU1:CEX1"/>
    <mergeCell ref="CEY1:CFB1"/>
    <mergeCell ref="CFC1:CFF1"/>
    <mergeCell ref="CDK1:CDN1"/>
    <mergeCell ref="CDO1:CDR1"/>
    <mergeCell ref="CDS1:CDV1"/>
    <mergeCell ref="CDW1:CDZ1"/>
    <mergeCell ref="CEA1:CED1"/>
    <mergeCell ref="CEE1:CEH1"/>
    <mergeCell ref="CCM1:CCP1"/>
    <mergeCell ref="CCQ1:CCT1"/>
    <mergeCell ref="CCU1:CCX1"/>
    <mergeCell ref="CCY1:CDB1"/>
    <mergeCell ref="CDC1:CDF1"/>
    <mergeCell ref="CDG1:CDJ1"/>
    <mergeCell ref="CBO1:CBR1"/>
    <mergeCell ref="CBS1:CBV1"/>
    <mergeCell ref="CBW1:CBZ1"/>
    <mergeCell ref="CCA1:CCD1"/>
    <mergeCell ref="CCE1:CCH1"/>
    <mergeCell ref="CCI1:CCL1"/>
    <mergeCell ref="CAQ1:CAT1"/>
    <mergeCell ref="CAU1:CAX1"/>
    <mergeCell ref="CAY1:CBB1"/>
    <mergeCell ref="CBC1:CBF1"/>
    <mergeCell ref="CBG1:CBJ1"/>
    <mergeCell ref="CBK1:CBN1"/>
    <mergeCell ref="BZS1:BZV1"/>
    <mergeCell ref="BZW1:BZZ1"/>
    <mergeCell ref="CAA1:CAD1"/>
    <mergeCell ref="CAE1:CAH1"/>
    <mergeCell ref="CAI1:CAL1"/>
    <mergeCell ref="CAM1:CAP1"/>
    <mergeCell ref="BYU1:BYX1"/>
    <mergeCell ref="BYY1:BZB1"/>
    <mergeCell ref="BZC1:BZF1"/>
    <mergeCell ref="BZG1:BZJ1"/>
    <mergeCell ref="BZK1:BZN1"/>
    <mergeCell ref="BZO1:BZR1"/>
    <mergeCell ref="BXW1:BXZ1"/>
    <mergeCell ref="BYA1:BYD1"/>
    <mergeCell ref="BYE1:BYH1"/>
    <mergeCell ref="BYI1:BYL1"/>
    <mergeCell ref="BYM1:BYP1"/>
    <mergeCell ref="BYQ1:BYT1"/>
    <mergeCell ref="BWY1:BXB1"/>
    <mergeCell ref="BXC1:BXF1"/>
    <mergeCell ref="BXG1:BXJ1"/>
    <mergeCell ref="BXK1:BXN1"/>
    <mergeCell ref="BXO1:BXR1"/>
    <mergeCell ref="BXS1:BXV1"/>
    <mergeCell ref="BWA1:BWD1"/>
    <mergeCell ref="BWE1:BWH1"/>
    <mergeCell ref="BWI1:BWL1"/>
    <mergeCell ref="BWM1:BWP1"/>
    <mergeCell ref="BWQ1:BWT1"/>
    <mergeCell ref="BWU1:BWX1"/>
    <mergeCell ref="BVC1:BVF1"/>
    <mergeCell ref="BVG1:BVJ1"/>
    <mergeCell ref="BVK1:BVN1"/>
    <mergeCell ref="BVO1:BVR1"/>
    <mergeCell ref="BVS1:BVV1"/>
    <mergeCell ref="BVW1:BVZ1"/>
    <mergeCell ref="BUE1:BUH1"/>
    <mergeCell ref="BUI1:BUL1"/>
    <mergeCell ref="BUM1:BUP1"/>
    <mergeCell ref="BUQ1:BUT1"/>
    <mergeCell ref="BUU1:BUX1"/>
    <mergeCell ref="BUY1:BVB1"/>
    <mergeCell ref="BTG1:BTJ1"/>
    <mergeCell ref="BTK1:BTN1"/>
    <mergeCell ref="BTO1:BTR1"/>
    <mergeCell ref="BTS1:BTV1"/>
    <mergeCell ref="BTW1:BTZ1"/>
    <mergeCell ref="BUA1:BUD1"/>
    <mergeCell ref="BSI1:BSL1"/>
    <mergeCell ref="BSM1:BSP1"/>
    <mergeCell ref="BSQ1:BST1"/>
    <mergeCell ref="BSU1:BSX1"/>
    <mergeCell ref="BSY1:BTB1"/>
    <mergeCell ref="BTC1:BTF1"/>
    <mergeCell ref="BRK1:BRN1"/>
    <mergeCell ref="BRO1:BRR1"/>
    <mergeCell ref="BRS1:BRV1"/>
    <mergeCell ref="BRW1:BRZ1"/>
    <mergeCell ref="BSA1:BSD1"/>
    <mergeCell ref="BSE1:BSH1"/>
    <mergeCell ref="BQM1:BQP1"/>
    <mergeCell ref="BQQ1:BQT1"/>
    <mergeCell ref="BQU1:BQX1"/>
    <mergeCell ref="BQY1:BRB1"/>
    <mergeCell ref="BRC1:BRF1"/>
    <mergeCell ref="BRG1:BRJ1"/>
    <mergeCell ref="BPO1:BPR1"/>
    <mergeCell ref="BPS1:BPV1"/>
    <mergeCell ref="BPW1:BPZ1"/>
    <mergeCell ref="BQA1:BQD1"/>
    <mergeCell ref="BQE1:BQH1"/>
    <mergeCell ref="BQI1:BQL1"/>
    <mergeCell ref="BOQ1:BOT1"/>
    <mergeCell ref="BOU1:BOX1"/>
    <mergeCell ref="BOY1:BPB1"/>
    <mergeCell ref="BPC1:BPF1"/>
    <mergeCell ref="BPG1:BPJ1"/>
    <mergeCell ref="BPK1:BPN1"/>
    <mergeCell ref="BNS1:BNV1"/>
    <mergeCell ref="BNW1:BNZ1"/>
    <mergeCell ref="BOA1:BOD1"/>
    <mergeCell ref="BOE1:BOH1"/>
    <mergeCell ref="BOI1:BOL1"/>
    <mergeCell ref="BOM1:BOP1"/>
    <mergeCell ref="BMU1:BMX1"/>
    <mergeCell ref="BMY1:BNB1"/>
    <mergeCell ref="BNC1:BNF1"/>
    <mergeCell ref="BNG1:BNJ1"/>
    <mergeCell ref="BNK1:BNN1"/>
    <mergeCell ref="BNO1:BNR1"/>
    <mergeCell ref="BLW1:BLZ1"/>
    <mergeCell ref="BMA1:BMD1"/>
    <mergeCell ref="BME1:BMH1"/>
    <mergeCell ref="BMI1:BML1"/>
    <mergeCell ref="BMM1:BMP1"/>
    <mergeCell ref="BMQ1:BMT1"/>
    <mergeCell ref="BKY1:BLB1"/>
    <mergeCell ref="BLC1:BLF1"/>
    <mergeCell ref="BLG1:BLJ1"/>
    <mergeCell ref="BLK1:BLN1"/>
    <mergeCell ref="BLO1:BLR1"/>
    <mergeCell ref="BLS1:BLV1"/>
    <mergeCell ref="BKA1:BKD1"/>
    <mergeCell ref="BKE1:BKH1"/>
    <mergeCell ref="BKI1:BKL1"/>
    <mergeCell ref="BKM1:BKP1"/>
    <mergeCell ref="BKQ1:BKT1"/>
    <mergeCell ref="BKU1:BKX1"/>
    <mergeCell ref="BJC1:BJF1"/>
    <mergeCell ref="BJG1:BJJ1"/>
    <mergeCell ref="BJK1:BJN1"/>
    <mergeCell ref="BJO1:BJR1"/>
    <mergeCell ref="BJS1:BJV1"/>
    <mergeCell ref="BJW1:BJZ1"/>
    <mergeCell ref="BIE1:BIH1"/>
    <mergeCell ref="BII1:BIL1"/>
    <mergeCell ref="BIM1:BIP1"/>
    <mergeCell ref="BIQ1:BIT1"/>
    <mergeCell ref="BIU1:BIX1"/>
    <mergeCell ref="BIY1:BJB1"/>
    <mergeCell ref="BHG1:BHJ1"/>
    <mergeCell ref="BHK1:BHN1"/>
    <mergeCell ref="BHO1:BHR1"/>
    <mergeCell ref="BHS1:BHV1"/>
    <mergeCell ref="BHW1:BHZ1"/>
    <mergeCell ref="BIA1:BID1"/>
    <mergeCell ref="BGI1:BGL1"/>
    <mergeCell ref="BGM1:BGP1"/>
    <mergeCell ref="BGQ1:BGT1"/>
    <mergeCell ref="BGU1:BGX1"/>
    <mergeCell ref="BGY1:BHB1"/>
    <mergeCell ref="BHC1:BHF1"/>
    <mergeCell ref="BFK1:BFN1"/>
    <mergeCell ref="BFO1:BFR1"/>
    <mergeCell ref="BFS1:BFV1"/>
    <mergeCell ref="BFW1:BFZ1"/>
    <mergeCell ref="BGA1:BGD1"/>
    <mergeCell ref="BGE1:BGH1"/>
    <mergeCell ref="BEM1:BEP1"/>
    <mergeCell ref="BEQ1:BET1"/>
    <mergeCell ref="BEU1:BEX1"/>
    <mergeCell ref="BEY1:BFB1"/>
    <mergeCell ref="BFC1:BFF1"/>
    <mergeCell ref="BFG1:BFJ1"/>
    <mergeCell ref="BDO1:BDR1"/>
    <mergeCell ref="BDS1:BDV1"/>
    <mergeCell ref="BDW1:BDZ1"/>
    <mergeCell ref="BEA1:BED1"/>
    <mergeCell ref="BEE1:BEH1"/>
    <mergeCell ref="BEI1:BEL1"/>
    <mergeCell ref="BCQ1:BCT1"/>
    <mergeCell ref="BCU1:BCX1"/>
    <mergeCell ref="BCY1:BDB1"/>
    <mergeCell ref="BDC1:BDF1"/>
    <mergeCell ref="BDG1:BDJ1"/>
    <mergeCell ref="BDK1:BDN1"/>
    <mergeCell ref="BBS1:BBV1"/>
    <mergeCell ref="BBW1:BBZ1"/>
    <mergeCell ref="BCA1:BCD1"/>
    <mergeCell ref="BCE1:BCH1"/>
    <mergeCell ref="BCI1:BCL1"/>
    <mergeCell ref="BCM1:BCP1"/>
    <mergeCell ref="BAU1:BAX1"/>
    <mergeCell ref="BAY1:BBB1"/>
    <mergeCell ref="BBC1:BBF1"/>
    <mergeCell ref="BBG1:BBJ1"/>
    <mergeCell ref="BBK1:BBN1"/>
    <mergeCell ref="BBO1:BBR1"/>
    <mergeCell ref="AZW1:AZZ1"/>
    <mergeCell ref="BAA1:BAD1"/>
    <mergeCell ref="BAE1:BAH1"/>
    <mergeCell ref="BAI1:BAL1"/>
    <mergeCell ref="BAM1:BAP1"/>
    <mergeCell ref="BAQ1:BAT1"/>
    <mergeCell ref="AYY1:AZB1"/>
    <mergeCell ref="AZC1:AZF1"/>
    <mergeCell ref="AZG1:AZJ1"/>
    <mergeCell ref="AZK1:AZN1"/>
    <mergeCell ref="AZO1:AZR1"/>
    <mergeCell ref="AZS1:AZV1"/>
    <mergeCell ref="AYA1:AYD1"/>
    <mergeCell ref="AYE1:AYH1"/>
    <mergeCell ref="AYI1:AYL1"/>
    <mergeCell ref="AYM1:AYP1"/>
    <mergeCell ref="AYQ1:AYT1"/>
    <mergeCell ref="AYU1:AYX1"/>
    <mergeCell ref="AXC1:AXF1"/>
    <mergeCell ref="AXG1:AXJ1"/>
    <mergeCell ref="AXK1:AXN1"/>
    <mergeCell ref="AXO1:AXR1"/>
    <mergeCell ref="AXS1:AXV1"/>
    <mergeCell ref="AXW1:AXZ1"/>
    <mergeCell ref="AWE1:AWH1"/>
    <mergeCell ref="AWI1:AWL1"/>
    <mergeCell ref="AWM1:AWP1"/>
    <mergeCell ref="AWQ1:AWT1"/>
    <mergeCell ref="AWU1:AWX1"/>
    <mergeCell ref="AWY1:AXB1"/>
    <mergeCell ref="AVG1:AVJ1"/>
    <mergeCell ref="AVK1:AVN1"/>
    <mergeCell ref="AVO1:AVR1"/>
    <mergeCell ref="AVS1:AVV1"/>
    <mergeCell ref="AVW1:AVZ1"/>
    <mergeCell ref="AWA1:AWD1"/>
    <mergeCell ref="AUI1:AUL1"/>
    <mergeCell ref="AUM1:AUP1"/>
    <mergeCell ref="AUQ1:AUT1"/>
    <mergeCell ref="AUU1:AUX1"/>
    <mergeCell ref="AUY1:AVB1"/>
    <mergeCell ref="AVC1:AVF1"/>
    <mergeCell ref="ATK1:ATN1"/>
    <mergeCell ref="ATO1:ATR1"/>
    <mergeCell ref="ATS1:ATV1"/>
    <mergeCell ref="ATW1:ATZ1"/>
    <mergeCell ref="AUA1:AUD1"/>
    <mergeCell ref="AUE1:AUH1"/>
    <mergeCell ref="ASM1:ASP1"/>
    <mergeCell ref="ASQ1:AST1"/>
    <mergeCell ref="ASU1:ASX1"/>
    <mergeCell ref="ASY1:ATB1"/>
    <mergeCell ref="ATC1:ATF1"/>
    <mergeCell ref="ATG1:ATJ1"/>
    <mergeCell ref="ARO1:ARR1"/>
    <mergeCell ref="ARS1:ARV1"/>
    <mergeCell ref="ARW1:ARZ1"/>
    <mergeCell ref="ASA1:ASD1"/>
    <mergeCell ref="ASE1:ASH1"/>
    <mergeCell ref="ASI1:ASL1"/>
    <mergeCell ref="AQQ1:AQT1"/>
    <mergeCell ref="AQU1:AQX1"/>
    <mergeCell ref="AQY1:ARB1"/>
    <mergeCell ref="ARC1:ARF1"/>
    <mergeCell ref="ARG1:ARJ1"/>
    <mergeCell ref="ARK1:ARN1"/>
    <mergeCell ref="APS1:APV1"/>
    <mergeCell ref="APW1:APZ1"/>
    <mergeCell ref="AQA1:AQD1"/>
    <mergeCell ref="AQE1:AQH1"/>
    <mergeCell ref="AQI1:AQL1"/>
    <mergeCell ref="AQM1:AQP1"/>
    <mergeCell ref="AOU1:AOX1"/>
    <mergeCell ref="AOY1:APB1"/>
    <mergeCell ref="APC1:APF1"/>
    <mergeCell ref="APG1:APJ1"/>
    <mergeCell ref="APK1:APN1"/>
    <mergeCell ref="APO1:APR1"/>
    <mergeCell ref="ANW1:ANZ1"/>
    <mergeCell ref="AOA1:AOD1"/>
    <mergeCell ref="AOE1:AOH1"/>
    <mergeCell ref="AOI1:AOL1"/>
    <mergeCell ref="AOM1:AOP1"/>
    <mergeCell ref="AOQ1:AOT1"/>
    <mergeCell ref="AMY1:ANB1"/>
    <mergeCell ref="ANC1:ANF1"/>
    <mergeCell ref="ANG1:ANJ1"/>
    <mergeCell ref="ANK1:ANN1"/>
    <mergeCell ref="ANO1:ANR1"/>
    <mergeCell ref="ANS1:ANV1"/>
    <mergeCell ref="AMA1:AMD1"/>
    <mergeCell ref="AME1:AMH1"/>
    <mergeCell ref="AMI1:AML1"/>
    <mergeCell ref="AMM1:AMP1"/>
    <mergeCell ref="AMQ1:AMT1"/>
    <mergeCell ref="AMU1:AMX1"/>
    <mergeCell ref="ALC1:ALF1"/>
    <mergeCell ref="ALG1:ALJ1"/>
    <mergeCell ref="ALK1:ALN1"/>
    <mergeCell ref="ALO1:ALR1"/>
    <mergeCell ref="ALS1:ALV1"/>
    <mergeCell ref="ALW1:ALZ1"/>
    <mergeCell ref="AKE1:AKH1"/>
    <mergeCell ref="AKI1:AKL1"/>
    <mergeCell ref="AKM1:AKP1"/>
    <mergeCell ref="AKQ1:AKT1"/>
    <mergeCell ref="AKU1:AKX1"/>
    <mergeCell ref="AKY1:ALB1"/>
    <mergeCell ref="AJG1:AJJ1"/>
    <mergeCell ref="AJK1:AJN1"/>
    <mergeCell ref="AJO1:AJR1"/>
    <mergeCell ref="AJS1:AJV1"/>
    <mergeCell ref="AJW1:AJZ1"/>
    <mergeCell ref="AKA1:AKD1"/>
    <mergeCell ref="AII1:AIL1"/>
    <mergeCell ref="AIM1:AIP1"/>
    <mergeCell ref="AIQ1:AIT1"/>
    <mergeCell ref="AIU1:AIX1"/>
    <mergeCell ref="AIY1:AJB1"/>
    <mergeCell ref="AJC1:AJF1"/>
    <mergeCell ref="AHK1:AHN1"/>
    <mergeCell ref="AHO1:AHR1"/>
    <mergeCell ref="AHS1:AHV1"/>
    <mergeCell ref="AHW1:AHZ1"/>
    <mergeCell ref="AIA1:AID1"/>
    <mergeCell ref="AIE1:AIH1"/>
    <mergeCell ref="AGM1:AGP1"/>
    <mergeCell ref="AGQ1:AGT1"/>
    <mergeCell ref="AGU1:AGX1"/>
    <mergeCell ref="AGY1:AHB1"/>
    <mergeCell ref="AHC1:AHF1"/>
    <mergeCell ref="AHG1:AHJ1"/>
    <mergeCell ref="AFO1:AFR1"/>
    <mergeCell ref="AFS1:AFV1"/>
    <mergeCell ref="AFW1:AFZ1"/>
    <mergeCell ref="AGA1:AGD1"/>
    <mergeCell ref="AGE1:AGH1"/>
    <mergeCell ref="AGI1:AGL1"/>
    <mergeCell ref="AEQ1:AET1"/>
    <mergeCell ref="AEU1:AEX1"/>
    <mergeCell ref="AEY1:AFB1"/>
    <mergeCell ref="AFC1:AFF1"/>
    <mergeCell ref="AFG1:AFJ1"/>
    <mergeCell ref="AFK1:AFN1"/>
    <mergeCell ref="ADS1:ADV1"/>
    <mergeCell ref="ADW1:ADZ1"/>
    <mergeCell ref="AEA1:AED1"/>
    <mergeCell ref="AEE1:AEH1"/>
    <mergeCell ref="AEI1:AEL1"/>
    <mergeCell ref="AEM1:AEP1"/>
    <mergeCell ref="ACU1:ACX1"/>
    <mergeCell ref="ACY1:ADB1"/>
    <mergeCell ref="ADC1:ADF1"/>
    <mergeCell ref="ADG1:ADJ1"/>
    <mergeCell ref="ADK1:ADN1"/>
    <mergeCell ref="ADO1:ADR1"/>
    <mergeCell ref="ABW1:ABZ1"/>
    <mergeCell ref="ACA1:ACD1"/>
    <mergeCell ref="ACE1:ACH1"/>
    <mergeCell ref="ACI1:ACL1"/>
    <mergeCell ref="ACM1:ACP1"/>
    <mergeCell ref="ACQ1:ACT1"/>
    <mergeCell ref="AAY1:ABB1"/>
    <mergeCell ref="ABC1:ABF1"/>
    <mergeCell ref="ABG1:ABJ1"/>
    <mergeCell ref="ABK1:ABN1"/>
    <mergeCell ref="ABO1:ABR1"/>
    <mergeCell ref="ABS1:ABV1"/>
    <mergeCell ref="AAA1:AAD1"/>
    <mergeCell ref="AAE1:AAH1"/>
    <mergeCell ref="AAI1:AAL1"/>
    <mergeCell ref="AAM1:AAP1"/>
    <mergeCell ref="AAQ1:AAT1"/>
    <mergeCell ref="AAU1:AAX1"/>
    <mergeCell ref="ZC1:ZF1"/>
    <mergeCell ref="ZG1:ZJ1"/>
    <mergeCell ref="ZK1:ZN1"/>
    <mergeCell ref="ZO1:ZR1"/>
    <mergeCell ref="ZS1:ZV1"/>
    <mergeCell ref="ZW1:ZZ1"/>
    <mergeCell ref="YE1:YH1"/>
    <mergeCell ref="YI1:YL1"/>
    <mergeCell ref="YM1:YP1"/>
    <mergeCell ref="YQ1:YT1"/>
    <mergeCell ref="YU1:YX1"/>
    <mergeCell ref="YY1:ZB1"/>
    <mergeCell ref="XG1:XJ1"/>
    <mergeCell ref="XK1:XN1"/>
    <mergeCell ref="XO1:XR1"/>
    <mergeCell ref="XS1:XV1"/>
    <mergeCell ref="XW1:XZ1"/>
    <mergeCell ref="YA1:YD1"/>
    <mergeCell ref="WI1:WL1"/>
    <mergeCell ref="WM1:WP1"/>
    <mergeCell ref="WQ1:WT1"/>
    <mergeCell ref="WU1:WX1"/>
    <mergeCell ref="WY1:XB1"/>
    <mergeCell ref="XC1:XF1"/>
    <mergeCell ref="VK1:VN1"/>
    <mergeCell ref="VO1:VR1"/>
    <mergeCell ref="VS1:VV1"/>
    <mergeCell ref="VW1:VZ1"/>
    <mergeCell ref="WA1:WD1"/>
    <mergeCell ref="WE1:WH1"/>
    <mergeCell ref="UM1:UP1"/>
    <mergeCell ref="UQ1:UT1"/>
    <mergeCell ref="UU1:UX1"/>
    <mergeCell ref="UY1:VB1"/>
    <mergeCell ref="VC1:VF1"/>
    <mergeCell ref="VG1:VJ1"/>
    <mergeCell ref="TO1:TR1"/>
    <mergeCell ref="TS1:TV1"/>
    <mergeCell ref="TW1:TZ1"/>
    <mergeCell ref="UA1:UD1"/>
    <mergeCell ref="UE1:UH1"/>
    <mergeCell ref="UI1:UL1"/>
    <mergeCell ref="SQ1:ST1"/>
    <mergeCell ref="SU1:SX1"/>
    <mergeCell ref="SY1:TB1"/>
    <mergeCell ref="TC1:TF1"/>
    <mergeCell ref="TG1:TJ1"/>
    <mergeCell ref="TK1:TN1"/>
    <mergeCell ref="RS1:RV1"/>
    <mergeCell ref="RW1:RZ1"/>
    <mergeCell ref="SA1:SD1"/>
    <mergeCell ref="SE1:SH1"/>
    <mergeCell ref="SI1:SL1"/>
    <mergeCell ref="SM1:SP1"/>
    <mergeCell ref="QU1:QX1"/>
    <mergeCell ref="QY1:RB1"/>
    <mergeCell ref="RC1:RF1"/>
    <mergeCell ref="RG1:RJ1"/>
    <mergeCell ref="RK1:RN1"/>
    <mergeCell ref="RO1:RR1"/>
    <mergeCell ref="PW1:PZ1"/>
    <mergeCell ref="QA1:QD1"/>
    <mergeCell ref="QE1:QH1"/>
    <mergeCell ref="QI1:QL1"/>
    <mergeCell ref="QM1:QP1"/>
    <mergeCell ref="QQ1:QT1"/>
    <mergeCell ref="OY1:PB1"/>
    <mergeCell ref="PC1:PF1"/>
    <mergeCell ref="PG1:PJ1"/>
    <mergeCell ref="PK1:PN1"/>
    <mergeCell ref="PO1:PR1"/>
    <mergeCell ref="PS1:PV1"/>
    <mergeCell ref="OA1:OD1"/>
    <mergeCell ref="OE1:OH1"/>
    <mergeCell ref="OI1:OL1"/>
    <mergeCell ref="OM1:OP1"/>
    <mergeCell ref="OQ1:OT1"/>
    <mergeCell ref="OU1:OX1"/>
    <mergeCell ref="NC1:NF1"/>
    <mergeCell ref="NG1:NJ1"/>
    <mergeCell ref="NK1:NN1"/>
    <mergeCell ref="NO1:NR1"/>
    <mergeCell ref="NS1:NV1"/>
    <mergeCell ref="NW1:NZ1"/>
    <mergeCell ref="ME1:MH1"/>
    <mergeCell ref="MI1:ML1"/>
    <mergeCell ref="MM1:MP1"/>
    <mergeCell ref="MQ1:MT1"/>
    <mergeCell ref="MU1:MX1"/>
    <mergeCell ref="MY1:NB1"/>
    <mergeCell ref="LG1:LJ1"/>
    <mergeCell ref="LK1:LN1"/>
    <mergeCell ref="LO1:LR1"/>
    <mergeCell ref="LS1:LV1"/>
    <mergeCell ref="LW1:LZ1"/>
    <mergeCell ref="MA1:MD1"/>
    <mergeCell ref="KI1:KL1"/>
    <mergeCell ref="KM1:KP1"/>
    <mergeCell ref="KQ1:KT1"/>
    <mergeCell ref="KU1:KX1"/>
    <mergeCell ref="KY1:LB1"/>
    <mergeCell ref="LC1:LF1"/>
    <mergeCell ref="JK1:JN1"/>
    <mergeCell ref="JO1:JR1"/>
    <mergeCell ref="JS1:JV1"/>
    <mergeCell ref="JW1:JZ1"/>
    <mergeCell ref="KA1:KD1"/>
    <mergeCell ref="KE1:KH1"/>
    <mergeCell ref="IM1:IP1"/>
    <mergeCell ref="IQ1:IT1"/>
    <mergeCell ref="IU1:IX1"/>
    <mergeCell ref="IY1:JB1"/>
    <mergeCell ref="JC1:JF1"/>
    <mergeCell ref="JG1:JJ1"/>
    <mergeCell ref="HO1:HR1"/>
    <mergeCell ref="HS1:HV1"/>
    <mergeCell ref="HW1:HZ1"/>
    <mergeCell ref="IA1:ID1"/>
    <mergeCell ref="IE1:IH1"/>
    <mergeCell ref="II1:IL1"/>
    <mergeCell ref="GQ1:GT1"/>
    <mergeCell ref="GU1:GX1"/>
    <mergeCell ref="GY1:HB1"/>
    <mergeCell ref="HC1:HF1"/>
    <mergeCell ref="HG1:HJ1"/>
    <mergeCell ref="HK1:HN1"/>
    <mergeCell ref="FS1:FV1"/>
    <mergeCell ref="FW1:FZ1"/>
    <mergeCell ref="GA1:GD1"/>
    <mergeCell ref="GE1:GH1"/>
    <mergeCell ref="GI1:GL1"/>
    <mergeCell ref="GM1:GP1"/>
    <mergeCell ref="EU1:EX1"/>
    <mergeCell ref="EY1:FB1"/>
    <mergeCell ref="FC1:FF1"/>
    <mergeCell ref="FG1:FJ1"/>
    <mergeCell ref="FK1:FN1"/>
    <mergeCell ref="FO1:FR1"/>
    <mergeCell ref="DW1:DZ1"/>
    <mergeCell ref="EA1:ED1"/>
    <mergeCell ref="EE1:EH1"/>
    <mergeCell ref="EI1:EL1"/>
    <mergeCell ref="EM1:EP1"/>
    <mergeCell ref="EQ1:ET1"/>
    <mergeCell ref="CY1:DB1"/>
    <mergeCell ref="DC1:DF1"/>
    <mergeCell ref="DG1:DJ1"/>
    <mergeCell ref="DK1:DN1"/>
    <mergeCell ref="DO1:DR1"/>
    <mergeCell ref="DS1:DV1"/>
    <mergeCell ref="G1:J1"/>
    <mergeCell ref="K1:N1"/>
    <mergeCell ref="O1:R1"/>
    <mergeCell ref="S1:V1"/>
    <mergeCell ref="W1:Z1"/>
    <mergeCell ref="AA1:AD1"/>
    <mergeCell ref="CA1:CD1"/>
    <mergeCell ref="CE1:CH1"/>
    <mergeCell ref="CI1:CL1"/>
    <mergeCell ref="CM1:CP1"/>
    <mergeCell ref="CQ1:CT1"/>
    <mergeCell ref="CU1:CX1"/>
    <mergeCell ref="BC1:BF1"/>
    <mergeCell ref="BG1:BJ1"/>
    <mergeCell ref="BK1:BN1"/>
    <mergeCell ref="BO1:BR1"/>
    <mergeCell ref="BS1:BV1"/>
    <mergeCell ref="BW1:BZ1"/>
    <mergeCell ref="AE1:AH1"/>
    <mergeCell ref="AI1:AL1"/>
    <mergeCell ref="AM1:AP1"/>
    <mergeCell ref="AQ1:AT1"/>
    <mergeCell ref="AU1:AX1"/>
    <mergeCell ref="AY1:BB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6"/>
  <sheetViews>
    <sheetView workbookViewId="0">
      <selection activeCell="A4" sqref="A4"/>
    </sheetView>
  </sheetViews>
  <sheetFormatPr defaultColWidth="8.77734375" defaultRowHeight="14.4" x14ac:dyDescent="0.3"/>
  <cols>
    <col min="1" max="1" width="28.44140625" customWidth="1"/>
    <col min="2" max="2" width="20.33203125" customWidth="1"/>
    <col min="3" max="3" width="16" customWidth="1"/>
    <col min="4" max="4" width="15.33203125" customWidth="1"/>
    <col min="5" max="5" width="13.33203125" customWidth="1"/>
  </cols>
  <sheetData>
    <row r="1" spans="1:7" x14ac:dyDescent="0.3">
      <c r="A1" t="s">
        <v>2761</v>
      </c>
      <c r="C1" s="342">
        <v>1</v>
      </c>
      <c r="G1" t="s">
        <v>2762</v>
      </c>
    </row>
    <row r="3" spans="1:7" ht="21" x14ac:dyDescent="0.4">
      <c r="A3" s="346" t="s">
        <v>0</v>
      </c>
      <c r="B3" s="345" t="s">
        <v>2763</v>
      </c>
      <c r="C3" s="345" t="s">
        <v>2749</v>
      </c>
      <c r="D3" s="345" t="s">
        <v>2750</v>
      </c>
      <c r="E3" s="345" t="s">
        <v>2751</v>
      </c>
      <c r="G3" s="339" t="s">
        <v>2764</v>
      </c>
    </row>
    <row r="4" spans="1:7" ht="15.6" x14ac:dyDescent="0.3">
      <c r="A4" s="344" t="s">
        <v>77</v>
      </c>
      <c r="B4" s="226"/>
      <c r="C4" s="226"/>
      <c r="D4" s="226"/>
      <c r="E4" s="226"/>
      <c r="G4" t="s">
        <v>2766</v>
      </c>
    </row>
    <row r="5" spans="1:7" x14ac:dyDescent="0.3">
      <c r="A5" s="181" t="s">
        <v>2767</v>
      </c>
      <c r="B5" s="226"/>
      <c r="C5" s="226"/>
      <c r="D5" s="226"/>
      <c r="E5" s="226"/>
    </row>
    <row r="6" spans="1:7" x14ac:dyDescent="0.3">
      <c r="A6" t="s">
        <v>2768</v>
      </c>
      <c r="B6" s="226"/>
      <c r="C6" s="226"/>
      <c r="D6" s="226"/>
      <c r="E6" s="226"/>
    </row>
    <row r="7" spans="1:7" x14ac:dyDescent="0.3">
      <c r="A7" t="s">
        <v>2769</v>
      </c>
      <c r="B7" s="226"/>
      <c r="C7" s="226"/>
      <c r="D7" s="226"/>
      <c r="E7" s="226"/>
    </row>
    <row r="8" spans="1:7" x14ac:dyDescent="0.3">
      <c r="A8" s="181" t="s">
        <v>2770</v>
      </c>
      <c r="B8" s="226"/>
      <c r="C8" s="226"/>
      <c r="D8" s="226"/>
      <c r="E8" s="226"/>
    </row>
    <row r="9" spans="1:7" x14ac:dyDescent="0.3">
      <c r="A9" t="s">
        <v>2768</v>
      </c>
      <c r="B9" s="226"/>
      <c r="C9" s="226"/>
      <c r="D9" s="226"/>
      <c r="E9" s="226"/>
    </row>
    <row r="10" spans="1:7" x14ac:dyDescent="0.3">
      <c r="A10" t="s">
        <v>2769</v>
      </c>
      <c r="B10" s="226"/>
      <c r="C10" s="226"/>
      <c r="D10" s="226"/>
      <c r="E10" s="226"/>
    </row>
    <row r="11" spans="1:7" x14ac:dyDescent="0.3">
      <c r="A11" s="181" t="s">
        <v>2771</v>
      </c>
      <c r="B11" s="226"/>
      <c r="C11" s="226"/>
      <c r="D11" s="226"/>
      <c r="E11" s="226"/>
    </row>
    <row r="12" spans="1:7" x14ac:dyDescent="0.3">
      <c r="A12" t="s">
        <v>2768</v>
      </c>
      <c r="B12" s="226"/>
      <c r="C12" s="226"/>
      <c r="D12" s="226"/>
      <c r="E12" s="226"/>
    </row>
    <row r="13" spans="1:7" x14ac:dyDescent="0.3">
      <c r="A13" t="s">
        <v>2769</v>
      </c>
      <c r="B13" s="226"/>
      <c r="C13" s="226"/>
      <c r="D13" s="226"/>
      <c r="E13" s="226"/>
    </row>
    <row r="14" spans="1:7" x14ac:dyDescent="0.3">
      <c r="A14" s="181" t="s">
        <v>2772</v>
      </c>
      <c r="B14" s="226"/>
      <c r="C14" s="226"/>
      <c r="D14" s="226"/>
      <c r="E14" s="226"/>
    </row>
    <row r="15" spans="1:7" x14ac:dyDescent="0.3">
      <c r="A15" t="s">
        <v>2768</v>
      </c>
      <c r="B15" s="287"/>
      <c r="C15" s="287"/>
      <c r="D15" s="287"/>
      <c r="E15" s="287"/>
    </row>
    <row r="16" spans="1:7" x14ac:dyDescent="0.3">
      <c r="A16" t="s">
        <v>2769</v>
      </c>
      <c r="B16" s="226"/>
      <c r="C16" s="226"/>
      <c r="D16" s="226"/>
      <c r="E16" s="226"/>
    </row>
    <row r="17" spans="1:7" x14ac:dyDescent="0.3">
      <c r="A17" s="181" t="s">
        <v>2773</v>
      </c>
      <c r="B17" s="226"/>
      <c r="C17" s="226"/>
      <c r="D17" s="226"/>
      <c r="E17" s="226"/>
    </row>
    <row r="18" spans="1:7" x14ac:dyDescent="0.3">
      <c r="A18" t="s">
        <v>2768</v>
      </c>
      <c r="B18" s="226"/>
      <c r="C18" s="226"/>
      <c r="D18" s="226"/>
      <c r="E18" s="226"/>
    </row>
    <row r="19" spans="1:7" x14ac:dyDescent="0.3">
      <c r="A19" t="s">
        <v>2769</v>
      </c>
      <c r="B19" s="226"/>
      <c r="C19" s="226"/>
      <c r="D19" s="226"/>
      <c r="E19" s="226"/>
    </row>
    <row r="20" spans="1:7" x14ac:dyDescent="0.3">
      <c r="B20" s="226"/>
      <c r="C20" s="226"/>
      <c r="D20" s="226"/>
      <c r="E20" s="226"/>
    </row>
    <row r="21" spans="1:7" x14ac:dyDescent="0.3">
      <c r="A21" s="181" t="s">
        <v>31</v>
      </c>
      <c r="B21" s="226"/>
      <c r="C21" s="226"/>
      <c r="D21" s="226"/>
      <c r="E21" s="226"/>
    </row>
    <row r="22" spans="1:7" x14ac:dyDescent="0.3">
      <c r="A22" t="s">
        <v>2752</v>
      </c>
      <c r="B22" s="226"/>
      <c r="C22" s="226"/>
      <c r="D22" s="226"/>
      <c r="E22" s="226"/>
    </row>
    <row r="23" spans="1:7" x14ac:dyDescent="0.3">
      <c r="A23" t="s">
        <v>2753</v>
      </c>
      <c r="B23" s="287"/>
      <c r="C23" s="287"/>
      <c r="D23" s="287"/>
      <c r="E23" s="287"/>
    </row>
    <row r="24" spans="1:7" x14ac:dyDescent="0.3">
      <c r="A24" t="s">
        <v>2754</v>
      </c>
      <c r="B24" s="226"/>
      <c r="C24" s="226"/>
      <c r="D24" s="226"/>
      <c r="E24" s="226"/>
    </row>
    <row r="25" spans="1:7" x14ac:dyDescent="0.3">
      <c r="A25" t="s">
        <v>2755</v>
      </c>
      <c r="B25" s="226"/>
      <c r="C25" s="226"/>
      <c r="D25" s="226"/>
      <c r="E25" s="226"/>
    </row>
    <row r="26" spans="1:7" x14ac:dyDescent="0.3">
      <c r="A26" t="s">
        <v>33</v>
      </c>
      <c r="B26" s="226"/>
      <c r="C26" s="226"/>
      <c r="D26" s="226"/>
      <c r="E26" s="226"/>
    </row>
    <row r="27" spans="1:7" x14ac:dyDescent="0.3">
      <c r="B27" s="226"/>
      <c r="C27" s="226"/>
      <c r="D27" s="226"/>
      <c r="E27" s="226"/>
    </row>
    <row r="28" spans="1:7" x14ac:dyDescent="0.3">
      <c r="B28" s="226"/>
      <c r="C28" s="226"/>
      <c r="E28" s="226"/>
    </row>
    <row r="29" spans="1:7" x14ac:dyDescent="0.3">
      <c r="A29" s="181" t="s">
        <v>97</v>
      </c>
      <c r="B29" s="226"/>
      <c r="E29" s="226"/>
    </row>
    <row r="30" spans="1:7" x14ac:dyDescent="0.3">
      <c r="A30" s="343" t="s">
        <v>2756</v>
      </c>
      <c r="B30" s="226"/>
      <c r="C30" s="340">
        <v>1.4999999999999999E-2</v>
      </c>
      <c r="D30" s="340">
        <v>1.4999999999999999E-2</v>
      </c>
      <c r="E30" s="340">
        <v>1.7500000000000002E-2</v>
      </c>
      <c r="G30" t="s">
        <v>2765</v>
      </c>
    </row>
    <row r="31" spans="1:7" x14ac:dyDescent="0.3">
      <c r="A31" s="343" t="s">
        <v>2757</v>
      </c>
      <c r="B31" s="226"/>
      <c r="C31" s="338">
        <v>0.02</v>
      </c>
      <c r="D31" s="338">
        <v>0.02</v>
      </c>
      <c r="E31" s="338">
        <v>0.02</v>
      </c>
    </row>
    <row r="32" spans="1:7" x14ac:dyDescent="0.3">
      <c r="A32" s="343" t="s">
        <v>2775</v>
      </c>
      <c r="B32" s="226"/>
      <c r="C32" s="338"/>
      <c r="D32" s="338"/>
      <c r="E32" s="338"/>
    </row>
    <row r="33" spans="1:5" x14ac:dyDescent="0.3">
      <c r="A33" s="343" t="s">
        <v>2776</v>
      </c>
      <c r="B33" s="226"/>
      <c r="C33" s="338"/>
      <c r="D33" s="338"/>
      <c r="E33" s="338"/>
    </row>
    <row r="34" spans="1:5" x14ac:dyDescent="0.3">
      <c r="A34" s="343" t="s">
        <v>2777</v>
      </c>
      <c r="B34" s="226"/>
      <c r="C34" s="338"/>
      <c r="D34" s="338"/>
      <c r="E34" s="338"/>
    </row>
    <row r="35" spans="1:5" x14ac:dyDescent="0.3">
      <c r="A35" s="181" t="s">
        <v>2767</v>
      </c>
      <c r="B35" s="226"/>
      <c r="C35" s="226"/>
      <c r="E35" s="226"/>
    </row>
    <row r="36" spans="1:5" x14ac:dyDescent="0.3">
      <c r="A36" t="s">
        <v>2758</v>
      </c>
      <c r="B36" s="226"/>
      <c r="C36" s="226"/>
      <c r="D36" s="226"/>
      <c r="E36" s="226"/>
    </row>
    <row r="37" spans="1:5" x14ac:dyDescent="0.3">
      <c r="A37" t="s">
        <v>2759</v>
      </c>
      <c r="B37" s="226"/>
      <c r="C37" s="226"/>
      <c r="D37" s="226"/>
      <c r="E37" s="226"/>
    </row>
    <row r="38" spans="1:5" x14ac:dyDescent="0.3">
      <c r="A38" s="181" t="s">
        <v>2770</v>
      </c>
      <c r="B38" s="226"/>
      <c r="C38" s="226"/>
      <c r="D38" s="226"/>
      <c r="E38" s="226"/>
    </row>
    <row r="39" spans="1:5" x14ac:dyDescent="0.3">
      <c r="A39" t="s">
        <v>2758</v>
      </c>
      <c r="B39" s="226"/>
      <c r="C39" s="226"/>
      <c r="D39" s="226"/>
      <c r="E39" s="226"/>
    </row>
    <row r="40" spans="1:5" x14ac:dyDescent="0.3">
      <c r="A40" t="s">
        <v>2759</v>
      </c>
      <c r="B40" s="226"/>
      <c r="C40" s="226"/>
      <c r="D40" s="226"/>
      <c r="E40" s="226"/>
    </row>
    <row r="41" spans="1:5" x14ac:dyDescent="0.3">
      <c r="A41" s="181" t="s">
        <v>2774</v>
      </c>
      <c r="B41" s="226"/>
      <c r="C41" s="226"/>
      <c r="D41" s="226"/>
      <c r="E41" s="226"/>
    </row>
    <row r="42" spans="1:5" x14ac:dyDescent="0.3">
      <c r="A42" t="s">
        <v>2758</v>
      </c>
      <c r="B42" s="226"/>
      <c r="C42" s="226"/>
      <c r="D42" s="226"/>
      <c r="E42" s="226"/>
    </row>
    <row r="43" spans="1:5" x14ac:dyDescent="0.3">
      <c r="A43" t="s">
        <v>2759</v>
      </c>
      <c r="B43" s="226"/>
      <c r="C43" s="226"/>
      <c r="D43" s="226"/>
      <c r="E43" s="226"/>
    </row>
    <row r="44" spans="1:5" x14ac:dyDescent="0.3">
      <c r="A44" s="181" t="s">
        <v>2772</v>
      </c>
      <c r="B44" s="226"/>
      <c r="C44" s="226"/>
      <c r="D44" s="226"/>
      <c r="E44" s="226"/>
    </row>
    <row r="45" spans="1:5" x14ac:dyDescent="0.3">
      <c r="A45" t="s">
        <v>2758</v>
      </c>
      <c r="B45" s="226"/>
      <c r="C45" s="226"/>
      <c r="D45" s="226"/>
      <c r="E45" s="226"/>
    </row>
    <row r="46" spans="1:5" x14ac:dyDescent="0.3">
      <c r="A46" t="s">
        <v>2759</v>
      </c>
      <c r="B46" s="226"/>
      <c r="C46" s="226"/>
      <c r="D46" s="226"/>
      <c r="E46" s="226"/>
    </row>
    <row r="47" spans="1:5" x14ac:dyDescent="0.3">
      <c r="A47" s="181" t="s">
        <v>2773</v>
      </c>
      <c r="B47" s="226"/>
      <c r="C47" s="226"/>
      <c r="D47" s="226"/>
      <c r="E47" s="226"/>
    </row>
    <row r="48" spans="1:5" x14ac:dyDescent="0.3">
      <c r="A48" t="s">
        <v>2758</v>
      </c>
      <c r="B48" s="226"/>
      <c r="C48" s="226"/>
      <c r="D48" s="226"/>
      <c r="E48" s="226"/>
    </row>
    <row r="49" spans="1:5" x14ac:dyDescent="0.3">
      <c r="A49" t="s">
        <v>2759</v>
      </c>
      <c r="B49" s="226"/>
      <c r="C49" s="226"/>
      <c r="D49" s="226"/>
      <c r="E49" s="226"/>
    </row>
    <row r="50" spans="1:5" x14ac:dyDescent="0.3">
      <c r="B50" s="226"/>
      <c r="C50" s="226"/>
      <c r="D50" s="226"/>
      <c r="E50" s="226"/>
    </row>
    <row r="51" spans="1:5" x14ac:dyDescent="0.3">
      <c r="B51" s="226"/>
      <c r="C51" s="226"/>
      <c r="D51" s="226"/>
      <c r="E51" s="226"/>
    </row>
    <row r="52" spans="1:5" x14ac:dyDescent="0.3">
      <c r="A52" t="s">
        <v>2542</v>
      </c>
      <c r="B52" s="226"/>
      <c r="C52" s="226"/>
      <c r="D52" s="226"/>
      <c r="E52" s="226"/>
    </row>
    <row r="53" spans="1:5" x14ac:dyDescent="0.3">
      <c r="A53" t="s">
        <v>136</v>
      </c>
      <c r="B53" s="226"/>
      <c r="C53" s="226"/>
      <c r="D53" s="226"/>
      <c r="E53" s="226"/>
    </row>
    <row r="54" spans="1:5" x14ac:dyDescent="0.3">
      <c r="B54" s="226"/>
      <c r="C54" s="226"/>
      <c r="D54" s="341"/>
      <c r="E54" s="226"/>
    </row>
    <row r="55" spans="1:5" x14ac:dyDescent="0.3">
      <c r="A55" t="s">
        <v>2700</v>
      </c>
      <c r="B55" s="226"/>
      <c r="C55" s="226"/>
      <c r="E55" s="226"/>
    </row>
    <row r="56" spans="1:5" x14ac:dyDescent="0.3">
      <c r="A56" t="s">
        <v>2760</v>
      </c>
      <c r="B56" s="226"/>
      <c r="C56" s="226"/>
      <c r="D56" s="226"/>
      <c r="E56" s="22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3:Q25"/>
  <sheetViews>
    <sheetView topLeftCell="E13" zoomScale="168" zoomScaleNormal="168" workbookViewId="0">
      <selection activeCell="Q18" sqref="Q18"/>
    </sheetView>
  </sheetViews>
  <sheetFormatPr defaultColWidth="8.77734375" defaultRowHeight="14.4" x14ac:dyDescent="0.3"/>
  <cols>
    <col min="1" max="1" width="37.44140625" customWidth="1"/>
    <col min="2" max="2" width="1.77734375" customWidth="1"/>
    <col min="3" max="3" width="7.33203125" bestFit="1" customWidth="1"/>
    <col min="4" max="4" width="10.109375" bestFit="1" customWidth="1"/>
    <col min="5" max="5" width="7" bestFit="1" customWidth="1"/>
    <col min="6" max="6" width="7.33203125" bestFit="1" customWidth="1"/>
    <col min="7" max="7" width="8.44140625" bestFit="1" customWidth="1"/>
    <col min="8" max="8" width="8.6640625" bestFit="1" customWidth="1"/>
    <col min="9" max="10" width="8.44140625" bestFit="1" customWidth="1"/>
    <col min="11" max="11" width="8.6640625" bestFit="1" customWidth="1"/>
  </cols>
  <sheetData>
    <row r="3" spans="1:17" x14ac:dyDescent="0.3">
      <c r="A3" s="311"/>
      <c r="B3" s="311"/>
      <c r="C3" s="435" t="s">
        <v>215</v>
      </c>
      <c r="D3" s="435"/>
      <c r="E3" s="311"/>
      <c r="F3" s="435" t="s">
        <v>216</v>
      </c>
      <c r="G3" s="435"/>
      <c r="H3" s="312"/>
      <c r="I3" s="435" t="s">
        <v>217</v>
      </c>
      <c r="J3" s="435"/>
      <c r="K3" s="311"/>
      <c r="L3" s="435" t="s">
        <v>2741</v>
      </c>
      <c r="M3" s="435"/>
      <c r="N3" s="311"/>
      <c r="O3" s="435" t="s">
        <v>2742</v>
      </c>
      <c r="P3" s="435"/>
      <c r="Q3" s="311"/>
    </row>
    <row r="4" spans="1:17" x14ac:dyDescent="0.3">
      <c r="A4" s="312"/>
      <c r="B4" s="313"/>
      <c r="C4" s="314"/>
      <c r="D4" s="314"/>
      <c r="E4" s="313"/>
      <c r="F4" s="314"/>
      <c r="G4" s="314"/>
      <c r="H4" s="315"/>
      <c r="I4" s="314"/>
      <c r="J4" s="314"/>
      <c r="K4" s="315"/>
      <c r="L4" s="314"/>
      <c r="M4" s="314"/>
      <c r="N4" s="315"/>
      <c r="O4" s="336" t="s">
        <v>2730</v>
      </c>
      <c r="P4" s="314" t="s">
        <v>2732</v>
      </c>
      <c r="Q4" s="315"/>
    </row>
    <row r="5" spans="1:17" x14ac:dyDescent="0.3">
      <c r="A5" s="312"/>
      <c r="B5" s="313"/>
      <c r="C5" s="316" t="s">
        <v>2730</v>
      </c>
      <c r="D5" s="316" t="s">
        <v>2732</v>
      </c>
      <c r="E5" s="335" t="s">
        <v>2703</v>
      </c>
      <c r="F5" s="316" t="s">
        <v>2730</v>
      </c>
      <c r="G5" s="316" t="s">
        <v>2732</v>
      </c>
      <c r="H5" s="335" t="s">
        <v>2703</v>
      </c>
      <c r="I5" s="316" t="s">
        <v>2730</v>
      </c>
      <c r="J5" s="316" t="s">
        <v>2732</v>
      </c>
      <c r="K5" s="335" t="s">
        <v>2703</v>
      </c>
      <c r="L5" s="316" t="s">
        <v>2730</v>
      </c>
      <c r="M5" s="316" t="s">
        <v>2732</v>
      </c>
      <c r="N5" s="335" t="s">
        <v>2703</v>
      </c>
      <c r="O5" s="337" t="s">
        <v>2743</v>
      </c>
      <c r="P5" s="316" t="s">
        <v>2743</v>
      </c>
      <c r="Q5" s="335" t="s">
        <v>2703</v>
      </c>
    </row>
    <row r="6" spans="1:17" x14ac:dyDescent="0.3">
      <c r="A6" s="312" t="s">
        <v>218</v>
      </c>
      <c r="B6" s="313"/>
      <c r="C6" s="311"/>
      <c r="D6" s="311"/>
      <c r="E6" s="313"/>
      <c r="F6" s="311"/>
      <c r="G6" s="311"/>
      <c r="H6" s="313"/>
      <c r="I6" s="311"/>
      <c r="J6" s="311"/>
      <c r="K6" s="313"/>
      <c r="L6" s="311"/>
      <c r="M6" s="311"/>
      <c r="N6" s="313"/>
      <c r="O6" s="311"/>
      <c r="P6" s="311"/>
      <c r="Q6" s="313"/>
    </row>
    <row r="7" spans="1:17" x14ac:dyDescent="0.3">
      <c r="A7" s="311" t="s">
        <v>2733</v>
      </c>
      <c r="B7" s="313"/>
      <c r="C7" s="317" t="e">
        <f>+#REF!-C9</f>
        <v>#REF!</v>
      </c>
      <c r="D7" s="318" t="e">
        <f>+#REF!-D9-D11</f>
        <v>#REF!</v>
      </c>
      <c r="E7" s="331"/>
      <c r="F7" s="318" t="e">
        <f>+#REF!-F9</f>
        <v>#REF!</v>
      </c>
      <c r="G7" s="318" t="e">
        <f>+#REF!-G9-G10</f>
        <v>#REF!</v>
      </c>
      <c r="H7" s="319" t="s">
        <v>229</v>
      </c>
      <c r="I7" s="318" t="e">
        <f>+#REF!-I9</f>
        <v>#REF!</v>
      </c>
      <c r="J7" s="318" t="e">
        <f>+#REF!</f>
        <v>#REF!</v>
      </c>
      <c r="K7" s="319" t="s">
        <v>229</v>
      </c>
      <c r="L7" s="318" t="e">
        <f>+#REF!-L9</f>
        <v>#REF!</v>
      </c>
      <c r="M7" s="318" t="e">
        <f>+#REF!-M10</f>
        <v>#REF!</v>
      </c>
      <c r="N7" s="319" t="s">
        <v>229</v>
      </c>
      <c r="O7" s="318" t="e">
        <f>+#REF!-O9</f>
        <v>#REF!</v>
      </c>
      <c r="P7" s="318" t="e">
        <f>+#REF!-P9-P10</f>
        <v>#REF!</v>
      </c>
      <c r="Q7" s="319" t="s">
        <v>229</v>
      </c>
    </row>
    <row r="8" spans="1:17" x14ac:dyDescent="0.3">
      <c r="A8" s="311"/>
      <c r="B8" s="313"/>
      <c r="C8" s="318"/>
      <c r="D8" s="318"/>
      <c r="E8" s="331"/>
      <c r="F8" s="318"/>
      <c r="G8" s="318"/>
      <c r="H8" s="319"/>
      <c r="I8" s="318"/>
      <c r="J8" s="318"/>
      <c r="K8" s="319"/>
      <c r="L8" s="318"/>
      <c r="M8" s="318"/>
      <c r="N8" s="319"/>
      <c r="O8" s="318"/>
      <c r="P8" s="318"/>
      <c r="Q8" s="319"/>
    </row>
    <row r="9" spans="1:17" ht="24.6" x14ac:dyDescent="0.3">
      <c r="A9" s="311" t="s">
        <v>2647</v>
      </c>
      <c r="B9" s="313"/>
      <c r="C9" s="318" t="e">
        <f>-'Detailed Support - Middlesex'!M48-#REF!</f>
        <v>#REF!</v>
      </c>
      <c r="D9" s="320" t="e">
        <f>+C9</f>
        <v>#REF!</v>
      </c>
      <c r="E9" s="331"/>
      <c r="F9" s="318" t="e">
        <f>+C9</f>
        <v>#REF!</v>
      </c>
      <c r="G9" s="318" t="e">
        <f>+F9</f>
        <v>#REF!</v>
      </c>
      <c r="H9" s="319" t="s">
        <v>2734</v>
      </c>
      <c r="I9" s="318" t="e">
        <f>+F9</f>
        <v>#REF!</v>
      </c>
      <c r="J9" s="318" t="e">
        <f>+I9</f>
        <v>#REF!</v>
      </c>
      <c r="K9" s="322" t="s">
        <v>2735</v>
      </c>
      <c r="L9" s="318" t="e">
        <f>+I9</f>
        <v>#REF!</v>
      </c>
      <c r="M9" s="318">
        <v>0</v>
      </c>
      <c r="N9" s="322" t="s">
        <v>2735</v>
      </c>
      <c r="O9" s="318">
        <v>-450000</v>
      </c>
      <c r="P9" s="318">
        <f>+O9</f>
        <v>-450000</v>
      </c>
      <c r="Q9" s="322" t="s">
        <v>2735</v>
      </c>
    </row>
    <row r="10" spans="1:17" ht="24.6" x14ac:dyDescent="0.3">
      <c r="A10" s="323" t="e">
        <f>+#REF!</f>
        <v>#REF!</v>
      </c>
      <c r="B10" s="313"/>
      <c r="C10" s="328" t="e">
        <f>-#REF!</f>
        <v>#REF!</v>
      </c>
      <c r="D10" s="328">
        <v>0</v>
      </c>
      <c r="E10" s="331"/>
      <c r="F10" s="330">
        <v>0</v>
      </c>
      <c r="G10" s="330" t="e">
        <f>-#REF!</f>
        <v>#REF!</v>
      </c>
      <c r="H10" s="319"/>
      <c r="I10" s="330">
        <v>0</v>
      </c>
      <c r="J10" s="330" t="e">
        <f>-#REF!</f>
        <v>#REF!</v>
      </c>
      <c r="K10" s="321" t="s">
        <v>2736</v>
      </c>
      <c r="L10" s="330">
        <v>0</v>
      </c>
      <c r="M10" s="330">
        <v>150000</v>
      </c>
      <c r="N10" s="321" t="s">
        <v>2736</v>
      </c>
      <c r="O10" s="330">
        <v>0</v>
      </c>
      <c r="P10" s="330">
        <v>500000</v>
      </c>
      <c r="Q10" s="321" t="s">
        <v>2744</v>
      </c>
    </row>
    <row r="11" spans="1:17" x14ac:dyDescent="0.3">
      <c r="A11" s="323" t="s">
        <v>2731</v>
      </c>
      <c r="B11" s="313"/>
      <c r="C11" s="328">
        <v>0</v>
      </c>
      <c r="D11" s="329" t="e">
        <f>-#REF!</f>
        <v>#REF!</v>
      </c>
      <c r="E11" s="331"/>
      <c r="F11" s="330">
        <v>0</v>
      </c>
      <c r="G11" s="330">
        <v>0</v>
      </c>
      <c r="H11" s="319"/>
      <c r="I11" s="330">
        <v>0</v>
      </c>
      <c r="J11" s="330">
        <v>0</v>
      </c>
      <c r="K11" s="321"/>
      <c r="L11" s="330">
        <v>0</v>
      </c>
      <c r="M11" s="330">
        <v>0</v>
      </c>
      <c r="N11" s="321"/>
      <c r="O11" s="330">
        <v>0</v>
      </c>
      <c r="P11" s="330">
        <v>0</v>
      </c>
      <c r="Q11" s="321"/>
    </row>
    <row r="12" spans="1:17" x14ac:dyDescent="0.3">
      <c r="A12" s="311"/>
      <c r="B12" s="313"/>
      <c r="C12" s="334"/>
      <c r="D12" s="334"/>
      <c r="E12" s="331"/>
      <c r="F12" s="334"/>
      <c r="G12" s="334"/>
      <c r="H12" s="319"/>
      <c r="I12" s="334"/>
      <c r="J12" s="334"/>
      <c r="K12" s="321"/>
      <c r="L12" s="334"/>
      <c r="M12" s="334"/>
      <c r="N12" s="321"/>
      <c r="O12" s="334"/>
      <c r="P12" s="334"/>
      <c r="Q12" s="321"/>
    </row>
    <row r="13" spans="1:17" x14ac:dyDescent="0.3">
      <c r="A13" s="312" t="s">
        <v>2740</v>
      </c>
      <c r="B13" s="313"/>
      <c r="C13" s="324" t="e">
        <f>+C7+C9+C10</f>
        <v>#REF!</v>
      </c>
      <c r="D13" s="318" t="e">
        <f>+D7+D9+D10+D11</f>
        <v>#REF!</v>
      </c>
      <c r="E13" s="331"/>
      <c r="F13" s="325" t="e">
        <f>+F7+F9+F10</f>
        <v>#REF!</v>
      </c>
      <c r="G13" s="318" t="e">
        <f>+G7+G9+G10</f>
        <v>#REF!</v>
      </c>
      <c r="H13" s="319"/>
      <c r="I13" s="325" t="e">
        <f>+I7+I9+I10</f>
        <v>#REF!</v>
      </c>
      <c r="J13" s="318" t="e">
        <f>+J7+J9+J10</f>
        <v>#REF!</v>
      </c>
      <c r="K13" s="321"/>
      <c r="L13" s="325" t="e">
        <f>+L7+L9+L10</f>
        <v>#REF!</v>
      </c>
      <c r="M13" s="318" t="e">
        <f>+M7+M9+M10</f>
        <v>#REF!</v>
      </c>
      <c r="N13" s="321"/>
      <c r="O13" s="325" t="e">
        <f>+O7+O9+O10</f>
        <v>#REF!</v>
      </c>
      <c r="P13" s="318" t="e">
        <f>+P7+P9+P10</f>
        <v>#REF!</v>
      </c>
      <c r="Q13" s="321"/>
    </row>
    <row r="14" spans="1:17" x14ac:dyDescent="0.3">
      <c r="A14" s="311"/>
      <c r="B14" s="313"/>
      <c r="C14" s="318"/>
      <c r="D14" s="318"/>
      <c r="E14" s="331"/>
      <c r="F14" s="318"/>
      <c r="G14" s="318"/>
      <c r="H14" s="319"/>
      <c r="I14" s="318"/>
      <c r="J14" s="318"/>
      <c r="K14" s="321"/>
      <c r="L14" s="318"/>
      <c r="M14" s="318"/>
      <c r="N14" s="321"/>
      <c r="O14" s="318"/>
      <c r="P14" s="318"/>
      <c r="Q14" s="321"/>
    </row>
    <row r="15" spans="1:17" ht="42" x14ac:dyDescent="0.3">
      <c r="A15" s="312" t="s">
        <v>210</v>
      </c>
      <c r="B15" s="313"/>
      <c r="C15" s="325" t="e">
        <f>+#REF!</f>
        <v>#REF!</v>
      </c>
      <c r="D15" s="318" t="e">
        <f>+#REF!</f>
        <v>#REF!</v>
      </c>
      <c r="E15" s="332" t="s">
        <v>2737</v>
      </c>
      <c r="F15" s="318" t="e">
        <f>+#REF!</f>
        <v>#REF!</v>
      </c>
      <c r="G15" s="318" t="e">
        <f>+#REF!</f>
        <v>#REF!</v>
      </c>
      <c r="H15" s="319" t="s">
        <v>2745</v>
      </c>
      <c r="I15" s="318" t="e">
        <f>+#REF!</f>
        <v>#REF!</v>
      </c>
      <c r="J15" s="318" t="e">
        <f>+#REF!</f>
        <v>#REF!</v>
      </c>
      <c r="K15" s="333" t="s">
        <v>229</v>
      </c>
      <c r="L15" s="318" t="e">
        <f>+#REF!</f>
        <v>#REF!</v>
      </c>
      <c r="M15" s="318" t="e">
        <f>+#REF!</f>
        <v>#REF!</v>
      </c>
      <c r="N15" s="333" t="s">
        <v>2739</v>
      </c>
      <c r="O15" s="318" t="e">
        <f>+#REF!</f>
        <v>#REF!</v>
      </c>
      <c r="P15" s="318" t="e">
        <f>+#REF!</f>
        <v>#REF!</v>
      </c>
      <c r="Q15" s="333" t="s">
        <v>2747</v>
      </c>
    </row>
    <row r="16" spans="1:17" x14ac:dyDescent="0.3">
      <c r="A16" s="311"/>
      <c r="B16" s="313"/>
      <c r="C16" s="318"/>
      <c r="D16" s="318"/>
      <c r="E16" s="331"/>
      <c r="F16" s="318"/>
      <c r="G16" s="318"/>
      <c r="H16" s="319"/>
      <c r="I16" s="318"/>
      <c r="J16" s="318"/>
      <c r="K16" s="321"/>
      <c r="L16" s="318"/>
      <c r="M16" s="318"/>
      <c r="N16" s="321"/>
      <c r="O16" s="318"/>
      <c r="P16" s="318"/>
      <c r="Q16" s="321"/>
    </row>
    <row r="17" spans="1:17" ht="36.6" x14ac:dyDescent="0.3">
      <c r="A17" s="312" t="s">
        <v>211</v>
      </c>
      <c r="B17" s="313"/>
      <c r="C17" s="325" t="e">
        <f>+#REF!</f>
        <v>#REF!</v>
      </c>
      <c r="D17" s="318" t="e">
        <f>+#REF!</f>
        <v>#REF!</v>
      </c>
      <c r="E17" s="332" t="s">
        <v>2738</v>
      </c>
      <c r="F17" s="318" t="e">
        <f>+#REF!</f>
        <v>#REF!</v>
      </c>
      <c r="G17" s="318" t="e">
        <f>+#REF!</f>
        <v>#REF!</v>
      </c>
      <c r="H17" s="319" t="s">
        <v>2746</v>
      </c>
      <c r="I17" s="318" t="e">
        <f>+#REF!</f>
        <v>#REF!</v>
      </c>
      <c r="J17" s="318" t="e">
        <f>+#REF!</f>
        <v>#REF!</v>
      </c>
      <c r="K17" s="333" t="s">
        <v>229</v>
      </c>
      <c r="L17" s="318" t="e">
        <f>+#REF!</f>
        <v>#REF!</v>
      </c>
      <c r="M17" s="318" t="e">
        <f>+#REF!</f>
        <v>#REF!</v>
      </c>
      <c r="N17" s="333" t="s">
        <v>229</v>
      </c>
      <c r="O17" s="318" t="e">
        <f>+#REF!</f>
        <v>#REF!</v>
      </c>
      <c r="P17" s="318" t="e">
        <f>+#REF!</f>
        <v>#REF!</v>
      </c>
      <c r="Q17" s="333" t="s">
        <v>2748</v>
      </c>
    </row>
    <row r="18" spans="1:17" x14ac:dyDescent="0.3">
      <c r="A18" s="311"/>
      <c r="B18" s="313"/>
      <c r="C18" s="318"/>
      <c r="D18" s="318"/>
      <c r="E18" s="331"/>
      <c r="F18" s="318"/>
      <c r="G18" s="318"/>
      <c r="H18" s="319"/>
      <c r="I18" s="318"/>
      <c r="J18" s="318"/>
      <c r="K18" s="321"/>
      <c r="L18" s="318"/>
      <c r="M18" s="318"/>
      <c r="N18" s="321"/>
      <c r="O18" s="318"/>
      <c r="P18" s="318"/>
      <c r="Q18" s="321"/>
    </row>
    <row r="19" spans="1:17" ht="15" thickBot="1" x14ac:dyDescent="0.35">
      <c r="A19" s="312" t="s">
        <v>2650</v>
      </c>
      <c r="B19" s="313"/>
      <c r="C19" s="326" t="e">
        <f>+C13+C15+C17</f>
        <v>#REF!</v>
      </c>
      <c r="D19" s="326" t="e">
        <f>+D13+D15+D17</f>
        <v>#REF!</v>
      </c>
      <c r="E19" s="331"/>
      <c r="F19" s="326" t="e">
        <f>+F13+F15+F17</f>
        <v>#REF!</v>
      </c>
      <c r="G19" s="326" t="e">
        <f>+G13+G15+G17</f>
        <v>#REF!</v>
      </c>
      <c r="H19" s="319"/>
      <c r="I19" s="326" t="e">
        <f>+I13+I15+I17</f>
        <v>#REF!</v>
      </c>
      <c r="J19" s="327" t="e">
        <f>+J13+J15+J17</f>
        <v>#REF!</v>
      </c>
      <c r="K19" s="321"/>
      <c r="L19" s="326" t="e">
        <f>+L13+L15+L17</f>
        <v>#REF!</v>
      </c>
      <c r="M19" s="327" t="e">
        <f>+M13+M15+M17</f>
        <v>#REF!</v>
      </c>
      <c r="N19" s="321"/>
      <c r="O19" s="326" t="e">
        <f>+O13+O15+O17</f>
        <v>#REF!</v>
      </c>
      <c r="P19" s="327" t="e">
        <f>+P13+P15+P17</f>
        <v>#REF!</v>
      </c>
      <c r="Q19" s="321"/>
    </row>
    <row r="20" spans="1:17" x14ac:dyDescent="0.3">
      <c r="A20" s="311"/>
      <c r="B20" s="311"/>
      <c r="C20" s="318"/>
      <c r="D20" s="311"/>
      <c r="E20" s="313"/>
      <c r="F20" s="311"/>
      <c r="G20" s="318"/>
      <c r="H20" s="313"/>
      <c r="I20" s="311"/>
      <c r="J20" s="318"/>
      <c r="K20" s="311"/>
    </row>
    <row r="21" spans="1:17" x14ac:dyDescent="0.3">
      <c r="A21" s="311"/>
      <c r="B21" s="311"/>
      <c r="C21" s="311"/>
      <c r="D21" s="311"/>
      <c r="E21" s="311"/>
      <c r="F21" s="311"/>
      <c r="G21" s="318"/>
      <c r="H21" s="311"/>
      <c r="I21" s="311"/>
      <c r="J21" s="318"/>
      <c r="K21" s="311"/>
    </row>
    <row r="22" spans="1:17" x14ac:dyDescent="0.3">
      <c r="C22" s="188"/>
      <c r="J22" s="188"/>
    </row>
    <row r="23" spans="1:17" x14ac:dyDescent="0.3">
      <c r="A23" s="191" t="s">
        <v>221</v>
      </c>
      <c r="C23" s="188"/>
    </row>
    <row r="24" spans="1:17" ht="28.8" x14ac:dyDescent="0.3">
      <c r="A24" s="190" t="s">
        <v>212</v>
      </c>
      <c r="C24" s="192" t="s">
        <v>214</v>
      </c>
    </row>
    <row r="25" spans="1:17" x14ac:dyDescent="0.3">
      <c r="C25" s="188"/>
    </row>
  </sheetData>
  <mergeCells count="5">
    <mergeCell ref="C3:D3"/>
    <mergeCell ref="F3:G3"/>
    <mergeCell ref="I3:J3"/>
    <mergeCell ref="L3:M3"/>
    <mergeCell ref="O3:P3"/>
  </mergeCells>
  <phoneticPr fontId="33" type="noConversion"/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G95"/>
  <sheetViews>
    <sheetView workbookViewId="0">
      <selection activeCell="F95" sqref="F95"/>
    </sheetView>
  </sheetViews>
  <sheetFormatPr defaultColWidth="8.77734375" defaultRowHeight="14.4" x14ac:dyDescent="0.3"/>
  <cols>
    <col min="1" max="1" width="25.33203125" bestFit="1" customWidth="1"/>
    <col min="2" max="2" width="9.33203125" bestFit="1" customWidth="1"/>
    <col min="3" max="3" width="17.6640625" bestFit="1" customWidth="1"/>
    <col min="4" max="4" width="14.33203125" customWidth="1"/>
    <col min="5" max="5" width="15.33203125" bestFit="1" customWidth="1"/>
    <col min="6" max="6" width="33.6640625" bestFit="1" customWidth="1"/>
  </cols>
  <sheetData>
    <row r="2" spans="1:7" x14ac:dyDescent="0.3">
      <c r="E2" s="265">
        <v>0.03</v>
      </c>
      <c r="G2" t="s">
        <v>229</v>
      </c>
    </row>
    <row r="3" spans="1:7" x14ac:dyDescent="0.3">
      <c r="A3" s="266" t="s">
        <v>2651</v>
      </c>
      <c r="B3" s="266"/>
      <c r="C3" s="266"/>
      <c r="D3" s="226">
        <f>+D18</f>
        <v>193500</v>
      </c>
      <c r="E3" s="226">
        <f>+D3*E$2</f>
        <v>5805</v>
      </c>
      <c r="G3" t="s">
        <v>229</v>
      </c>
    </row>
    <row r="4" spans="1:7" x14ac:dyDescent="0.3">
      <c r="D4" s="226"/>
      <c r="E4" s="226"/>
      <c r="G4" t="s">
        <v>229</v>
      </c>
    </row>
    <row r="5" spans="1:7" hidden="1" x14ac:dyDescent="0.3">
      <c r="D5" s="226"/>
      <c r="E5" s="226"/>
      <c r="G5" t="s">
        <v>229</v>
      </c>
    </row>
    <row r="6" spans="1:7" hidden="1" x14ac:dyDescent="0.3">
      <c r="A6" s="267" t="s">
        <v>2652</v>
      </c>
      <c r="B6" s="267"/>
      <c r="C6" s="267"/>
      <c r="D6" s="436" t="s">
        <v>2653</v>
      </c>
      <c r="E6" s="436"/>
      <c r="F6" s="268" t="s">
        <v>2654</v>
      </c>
    </row>
    <row r="7" spans="1:7" hidden="1" x14ac:dyDescent="0.3">
      <c r="A7" s="269" t="s">
        <v>2655</v>
      </c>
      <c r="B7" s="269"/>
      <c r="C7" s="269"/>
      <c r="D7" s="270" t="s">
        <v>2651</v>
      </c>
      <c r="E7" s="270" t="s">
        <v>2656</v>
      </c>
      <c r="F7" s="196"/>
    </row>
    <row r="8" spans="1:7" hidden="1" x14ac:dyDescent="0.3">
      <c r="A8" t="s">
        <v>2657</v>
      </c>
      <c r="D8" s="271">
        <f>25500</f>
        <v>25500</v>
      </c>
      <c r="E8" s="271">
        <v>1725</v>
      </c>
      <c r="F8" t="s">
        <v>2658</v>
      </c>
    </row>
    <row r="9" spans="1:7" hidden="1" x14ac:dyDescent="0.3">
      <c r="A9" t="s">
        <v>2659</v>
      </c>
      <c r="D9" s="272">
        <v>2500</v>
      </c>
      <c r="E9" s="272">
        <v>400</v>
      </c>
      <c r="F9" t="s">
        <v>2660</v>
      </c>
    </row>
    <row r="10" spans="1:7" hidden="1" x14ac:dyDescent="0.3">
      <c r="A10" t="s">
        <v>55</v>
      </c>
      <c r="D10" s="272">
        <v>11000</v>
      </c>
      <c r="E10" s="272">
        <v>600</v>
      </c>
      <c r="F10" t="s">
        <v>2661</v>
      </c>
    </row>
    <row r="11" spans="1:7" hidden="1" x14ac:dyDescent="0.3">
      <c r="A11" t="s">
        <v>2662</v>
      </c>
      <c r="D11" s="272">
        <v>63000</v>
      </c>
      <c r="E11" s="272">
        <v>0</v>
      </c>
      <c r="F11" t="s">
        <v>2663</v>
      </c>
    </row>
    <row r="12" spans="1:7" hidden="1" x14ac:dyDescent="0.3">
      <c r="A12" t="s">
        <v>2664</v>
      </c>
      <c r="D12" s="272">
        <v>12500</v>
      </c>
      <c r="E12" s="272">
        <v>0</v>
      </c>
      <c r="F12" t="s">
        <v>2665</v>
      </c>
    </row>
    <row r="13" spans="1:7" hidden="1" x14ac:dyDescent="0.3">
      <c r="A13" t="s">
        <v>108</v>
      </c>
      <c r="D13" s="272">
        <v>4000</v>
      </c>
      <c r="E13" s="272">
        <v>0</v>
      </c>
      <c r="F13" t="s">
        <v>2666</v>
      </c>
    </row>
    <row r="14" spans="1:7" hidden="1" x14ac:dyDescent="0.3">
      <c r="D14" s="272"/>
      <c r="E14" s="272"/>
    </row>
    <row r="15" spans="1:7" hidden="1" x14ac:dyDescent="0.3">
      <c r="A15" s="273" t="s">
        <v>2667</v>
      </c>
      <c r="B15" s="273"/>
      <c r="C15" s="273"/>
      <c r="D15" s="272"/>
      <c r="E15" s="272"/>
    </row>
    <row r="16" spans="1:7" hidden="1" x14ac:dyDescent="0.3">
      <c r="A16" t="s">
        <v>2668</v>
      </c>
      <c r="D16" s="274">
        <v>75000</v>
      </c>
      <c r="E16" s="274">
        <v>0</v>
      </c>
      <c r="F16" t="s">
        <v>2669</v>
      </c>
    </row>
    <row r="17" spans="1:6" hidden="1" x14ac:dyDescent="0.3">
      <c r="D17" s="226"/>
      <c r="E17" s="226"/>
    </row>
    <row r="18" spans="1:6" ht="15" hidden="1" thickBot="1" x14ac:dyDescent="0.35">
      <c r="D18" s="275">
        <f>SUM(D8:D16)</f>
        <v>193500</v>
      </c>
      <c r="E18" s="276">
        <f>SUM(E8:E16)</f>
        <v>2725</v>
      </c>
      <c r="F18" s="277" t="s">
        <v>2670</v>
      </c>
    </row>
    <row r="19" spans="1:6" hidden="1" x14ac:dyDescent="0.3">
      <c r="D19" s="226"/>
      <c r="E19" s="226"/>
    </row>
    <row r="20" spans="1:6" hidden="1" x14ac:dyDescent="0.3">
      <c r="D20" s="226"/>
      <c r="E20" s="226"/>
    </row>
    <row r="21" spans="1:6" x14ac:dyDescent="0.3">
      <c r="A21" s="266" t="s">
        <v>2671</v>
      </c>
      <c r="B21" s="266"/>
      <c r="C21" s="266"/>
      <c r="D21" s="272">
        <f>+D43</f>
        <v>404500</v>
      </c>
      <c r="E21" s="226">
        <f>+D21*E$2</f>
        <v>12135</v>
      </c>
      <c r="F21" s="278"/>
    </row>
    <row r="22" spans="1:6" x14ac:dyDescent="0.3">
      <c r="D22" s="272"/>
      <c r="E22" s="272"/>
      <c r="F22" s="278"/>
    </row>
    <row r="23" spans="1:6" hidden="1" x14ac:dyDescent="0.3">
      <c r="D23" s="226"/>
      <c r="E23" s="226"/>
    </row>
    <row r="24" spans="1:6" hidden="1" x14ac:dyDescent="0.3">
      <c r="A24" s="267" t="s">
        <v>2652</v>
      </c>
      <c r="B24" s="267"/>
      <c r="C24" s="267"/>
      <c r="D24" s="270" t="s">
        <v>2672</v>
      </c>
      <c r="E24" s="226"/>
      <c r="F24" s="268" t="s">
        <v>2654</v>
      </c>
    </row>
    <row r="25" spans="1:6" hidden="1" x14ac:dyDescent="0.3">
      <c r="A25" s="269" t="s">
        <v>2655</v>
      </c>
      <c r="B25" s="279"/>
      <c r="C25" s="279"/>
      <c r="D25" s="226"/>
      <c r="E25" s="226"/>
    </row>
    <row r="26" spans="1:6" hidden="1" x14ac:dyDescent="0.3">
      <c r="A26" t="s">
        <v>2657</v>
      </c>
      <c r="B26" s="279" t="s">
        <v>2655</v>
      </c>
      <c r="C26" s="279">
        <v>465090</v>
      </c>
      <c r="D26" s="272">
        <v>18000</v>
      </c>
      <c r="E26" s="226"/>
      <c r="F26" t="s">
        <v>2673</v>
      </c>
    </row>
    <row r="27" spans="1:6" hidden="1" x14ac:dyDescent="0.3">
      <c r="A27" t="s">
        <v>2659</v>
      </c>
      <c r="B27" s="279" t="s">
        <v>2655</v>
      </c>
      <c r="C27" s="279">
        <v>465040</v>
      </c>
      <c r="D27" s="272">
        <v>21400</v>
      </c>
      <c r="E27" s="226"/>
      <c r="F27" t="s">
        <v>2674</v>
      </c>
    </row>
    <row r="28" spans="1:6" hidden="1" x14ac:dyDescent="0.3">
      <c r="A28" t="s">
        <v>55</v>
      </c>
      <c r="B28" s="279" t="s">
        <v>2655</v>
      </c>
      <c r="C28" s="279">
        <v>468000</v>
      </c>
      <c r="D28" s="272">
        <v>29000</v>
      </c>
      <c r="E28" s="226"/>
      <c r="F28" t="s">
        <v>2675</v>
      </c>
    </row>
    <row r="29" spans="1:6" hidden="1" x14ac:dyDescent="0.3">
      <c r="A29" t="s">
        <v>2662</v>
      </c>
      <c r="B29" s="279" t="s">
        <v>2676</v>
      </c>
      <c r="C29" s="279">
        <v>461020</v>
      </c>
      <c r="D29" s="272">
        <v>17000</v>
      </c>
      <c r="E29" s="226"/>
    </row>
    <row r="30" spans="1:6" hidden="1" x14ac:dyDescent="0.3">
      <c r="A30" t="s">
        <v>2664</v>
      </c>
      <c r="B30" s="279" t="s">
        <v>2676</v>
      </c>
      <c r="C30" s="279">
        <v>476000</v>
      </c>
      <c r="D30" s="272">
        <v>12000</v>
      </c>
      <c r="E30" s="226"/>
    </row>
    <row r="31" spans="1:6" hidden="1" x14ac:dyDescent="0.3">
      <c r="A31" t="s">
        <v>108</v>
      </c>
      <c r="B31" s="279" t="s">
        <v>2655</v>
      </c>
      <c r="C31" s="279">
        <v>465010</v>
      </c>
      <c r="D31" s="272">
        <v>86000</v>
      </c>
      <c r="E31" s="226"/>
      <c r="F31" t="s">
        <v>2677</v>
      </c>
    </row>
    <row r="32" spans="1:6" hidden="1" x14ac:dyDescent="0.3">
      <c r="B32" s="279" t="s">
        <v>126</v>
      </c>
      <c r="C32" s="279">
        <v>465010</v>
      </c>
      <c r="D32" s="272">
        <v>30000</v>
      </c>
      <c r="E32" s="226"/>
      <c r="F32" t="s">
        <v>2678</v>
      </c>
    </row>
    <row r="33" spans="1:6" hidden="1" x14ac:dyDescent="0.3">
      <c r="B33" s="279" t="s">
        <v>2655</v>
      </c>
      <c r="C33" s="279">
        <v>465090</v>
      </c>
      <c r="D33" s="272">
        <v>9100</v>
      </c>
      <c r="E33" s="226"/>
      <c r="F33" t="s">
        <v>2679</v>
      </c>
    </row>
    <row r="34" spans="1:6" hidden="1" x14ac:dyDescent="0.3">
      <c r="B34" s="279" t="s">
        <v>2655</v>
      </c>
      <c r="C34" s="279">
        <v>465090</v>
      </c>
      <c r="D34" s="272">
        <v>4000</v>
      </c>
      <c r="E34" s="226"/>
      <c r="F34" t="s">
        <v>2680</v>
      </c>
    </row>
    <row r="35" spans="1:6" hidden="1" x14ac:dyDescent="0.3">
      <c r="B35" s="279" t="s">
        <v>2655</v>
      </c>
      <c r="C35" s="279">
        <v>465090</v>
      </c>
      <c r="D35" s="272">
        <v>75000</v>
      </c>
      <c r="E35" s="226"/>
      <c r="F35" t="s">
        <v>2681</v>
      </c>
    </row>
    <row r="36" spans="1:6" hidden="1" x14ac:dyDescent="0.3">
      <c r="D36" s="272"/>
      <c r="E36" s="226"/>
    </row>
    <row r="37" spans="1:6" hidden="1" x14ac:dyDescent="0.3">
      <c r="A37" s="273" t="s">
        <v>2667</v>
      </c>
      <c r="B37" s="273"/>
      <c r="C37" s="273"/>
      <c r="D37" s="272"/>
      <c r="E37" s="226"/>
    </row>
    <row r="38" spans="1:6" hidden="1" x14ac:dyDescent="0.3">
      <c r="A38" t="s">
        <v>2668</v>
      </c>
      <c r="D38" s="272"/>
      <c r="E38" s="226"/>
    </row>
    <row r="39" spans="1:6" hidden="1" x14ac:dyDescent="0.3">
      <c r="A39" t="s">
        <v>2682</v>
      </c>
      <c r="B39" s="279" t="s">
        <v>2676</v>
      </c>
      <c r="C39">
        <v>464020</v>
      </c>
      <c r="D39" s="272">
        <v>58300</v>
      </c>
      <c r="E39" s="226"/>
      <c r="F39" t="s">
        <v>2683</v>
      </c>
    </row>
    <row r="40" spans="1:6" hidden="1" x14ac:dyDescent="0.3">
      <c r="A40" t="s">
        <v>2684</v>
      </c>
      <c r="B40" s="279" t="s">
        <v>2676</v>
      </c>
      <c r="C40">
        <v>464030</v>
      </c>
      <c r="D40" s="272">
        <v>18200</v>
      </c>
      <c r="E40" s="226"/>
      <c r="F40" t="s">
        <v>2685</v>
      </c>
    </row>
    <row r="41" spans="1:6" hidden="1" x14ac:dyDescent="0.3">
      <c r="A41" t="s">
        <v>2686</v>
      </c>
      <c r="B41" s="279" t="s">
        <v>2676</v>
      </c>
      <c r="C41">
        <v>471020</v>
      </c>
      <c r="D41" s="272">
        <v>26500</v>
      </c>
      <c r="E41" s="226"/>
      <c r="F41" t="s">
        <v>2687</v>
      </c>
    </row>
    <row r="42" spans="1:6" hidden="1" x14ac:dyDescent="0.3">
      <c r="D42" s="272"/>
      <c r="E42" s="226"/>
    </row>
    <row r="43" spans="1:6" hidden="1" x14ac:dyDescent="0.3">
      <c r="D43" s="280">
        <f>SUM(D26:D42)</f>
        <v>404500</v>
      </c>
      <c r="E43" s="226"/>
    </row>
    <row r="44" spans="1:6" hidden="1" x14ac:dyDescent="0.3">
      <c r="D44" s="272"/>
      <c r="E44" s="226"/>
    </row>
    <row r="45" spans="1:6" x14ac:dyDescent="0.3">
      <c r="A45" s="266" t="s">
        <v>210</v>
      </c>
      <c r="B45" s="266"/>
      <c r="C45" s="266"/>
      <c r="D45" s="272">
        <f>+D63</f>
        <v>245000</v>
      </c>
      <c r="E45" s="226">
        <f>+D45*E$2</f>
        <v>7350</v>
      </c>
      <c r="F45" s="278"/>
    </row>
    <row r="46" spans="1:6" x14ac:dyDescent="0.3">
      <c r="D46" s="272"/>
      <c r="E46" s="272"/>
      <c r="F46" s="278"/>
    </row>
    <row r="47" spans="1:6" hidden="1" x14ac:dyDescent="0.3">
      <c r="D47" s="226"/>
      <c r="E47" s="226"/>
    </row>
    <row r="48" spans="1:6" hidden="1" x14ac:dyDescent="0.3">
      <c r="A48" s="267" t="s">
        <v>2652</v>
      </c>
      <c r="B48" s="267"/>
      <c r="C48" s="267"/>
      <c r="D48" s="270" t="s">
        <v>2672</v>
      </c>
      <c r="E48" s="226"/>
      <c r="F48" s="268" t="s">
        <v>2654</v>
      </c>
    </row>
    <row r="49" spans="1:6" hidden="1" x14ac:dyDescent="0.3">
      <c r="A49" s="269" t="s">
        <v>2655</v>
      </c>
      <c r="B49" s="279"/>
      <c r="C49" s="279"/>
      <c r="D49" s="226"/>
      <c r="E49" s="226"/>
    </row>
    <row r="50" spans="1:6" hidden="1" x14ac:dyDescent="0.3">
      <c r="A50" t="s">
        <v>2657</v>
      </c>
      <c r="B50" s="279"/>
      <c r="C50" s="281" t="s">
        <v>2688</v>
      </c>
      <c r="D50" s="272">
        <f>25000*1.04</f>
        <v>26000</v>
      </c>
      <c r="E50" s="226"/>
      <c r="F50" t="s">
        <v>2689</v>
      </c>
    </row>
    <row r="51" spans="1:6" hidden="1" x14ac:dyDescent="0.3">
      <c r="A51" t="s">
        <v>2659</v>
      </c>
      <c r="B51" s="279"/>
      <c r="C51" s="281"/>
      <c r="D51" s="272">
        <v>2000</v>
      </c>
      <c r="E51" s="226"/>
      <c r="F51" t="s">
        <v>2690</v>
      </c>
    </row>
    <row r="52" spans="1:6" hidden="1" x14ac:dyDescent="0.3">
      <c r="A52" t="s">
        <v>55</v>
      </c>
      <c r="B52" s="279"/>
      <c r="C52" s="281" t="s">
        <v>2691</v>
      </c>
      <c r="D52" s="272">
        <v>29000</v>
      </c>
      <c r="E52" s="226"/>
      <c r="F52" t="s">
        <v>2675</v>
      </c>
    </row>
    <row r="53" spans="1:6" hidden="1" x14ac:dyDescent="0.3">
      <c r="A53" t="s">
        <v>2662</v>
      </c>
      <c r="B53" s="279"/>
      <c r="C53" s="281" t="s">
        <v>2676</v>
      </c>
      <c r="D53" s="272">
        <v>70000</v>
      </c>
      <c r="E53" s="226"/>
    </row>
    <row r="54" spans="1:6" hidden="1" x14ac:dyDescent="0.3">
      <c r="A54" t="s">
        <v>2664</v>
      </c>
      <c r="B54" s="279"/>
      <c r="C54" s="281"/>
      <c r="D54" s="272"/>
      <c r="E54" s="226"/>
    </row>
    <row r="55" spans="1:6" hidden="1" x14ac:dyDescent="0.3">
      <c r="A55" t="s">
        <v>108</v>
      </c>
      <c r="B55" s="279"/>
      <c r="C55" s="281"/>
      <c r="D55" s="272">
        <v>102000</v>
      </c>
      <c r="E55" s="226"/>
      <c r="F55" t="s">
        <v>2692</v>
      </c>
    </row>
    <row r="56" spans="1:6" hidden="1" x14ac:dyDescent="0.3">
      <c r="C56" s="281"/>
      <c r="D56" s="272"/>
      <c r="E56" s="226"/>
    </row>
    <row r="57" spans="1:6" hidden="1" x14ac:dyDescent="0.3">
      <c r="A57" s="273" t="s">
        <v>2667</v>
      </c>
      <c r="B57" s="273"/>
      <c r="C57" s="281"/>
      <c r="D57" s="272"/>
      <c r="E57" s="226"/>
    </row>
    <row r="58" spans="1:6" hidden="1" x14ac:dyDescent="0.3">
      <c r="A58" t="s">
        <v>2668</v>
      </c>
      <c r="C58" s="281"/>
      <c r="D58" s="272"/>
      <c r="E58" s="226"/>
    </row>
    <row r="59" spans="1:6" hidden="1" x14ac:dyDescent="0.3">
      <c r="A59" t="s">
        <v>2682</v>
      </c>
      <c r="B59" s="279"/>
      <c r="C59" s="281"/>
      <c r="D59" s="272"/>
      <c r="E59" s="226"/>
    </row>
    <row r="60" spans="1:6" hidden="1" x14ac:dyDescent="0.3">
      <c r="A60" t="s">
        <v>2684</v>
      </c>
      <c r="B60" s="279"/>
      <c r="C60" s="281"/>
      <c r="D60" s="272"/>
      <c r="E60" s="226"/>
    </row>
    <row r="61" spans="1:6" hidden="1" x14ac:dyDescent="0.3">
      <c r="A61" t="s">
        <v>2686</v>
      </c>
      <c r="B61" s="279"/>
      <c r="C61" s="281" t="s">
        <v>2693</v>
      </c>
      <c r="D61" s="272">
        <v>16000</v>
      </c>
      <c r="E61" s="226"/>
    </row>
    <row r="62" spans="1:6" hidden="1" x14ac:dyDescent="0.3">
      <c r="C62" s="281"/>
      <c r="D62" s="272"/>
      <c r="E62" s="226"/>
    </row>
    <row r="63" spans="1:6" hidden="1" x14ac:dyDescent="0.3">
      <c r="C63" s="281"/>
      <c r="D63" s="280">
        <f>SUM(D50:D62)</f>
        <v>245000</v>
      </c>
      <c r="E63" s="226"/>
    </row>
    <row r="64" spans="1:6" hidden="1" x14ac:dyDescent="0.3">
      <c r="C64" s="281"/>
      <c r="D64" s="226"/>
      <c r="E64" s="226"/>
    </row>
    <row r="65" spans="1:6" hidden="1" x14ac:dyDescent="0.3">
      <c r="C65" s="281"/>
      <c r="D65" s="226"/>
      <c r="E65" s="226"/>
    </row>
    <row r="66" spans="1:6" x14ac:dyDescent="0.3">
      <c r="A66" s="266" t="s">
        <v>2694</v>
      </c>
      <c r="B66" s="266"/>
      <c r="C66" s="266"/>
      <c r="D66" s="272">
        <f>+D88</f>
        <v>809156</v>
      </c>
      <c r="E66" s="226">
        <f>+D66*E$2</f>
        <v>24274.68</v>
      </c>
      <c r="F66" s="278"/>
    </row>
    <row r="67" spans="1:6" x14ac:dyDescent="0.3">
      <c r="D67" s="272"/>
      <c r="E67" s="272"/>
      <c r="F67" s="278"/>
    </row>
    <row r="68" spans="1:6" hidden="1" x14ac:dyDescent="0.3">
      <c r="D68" s="226"/>
      <c r="E68" s="226"/>
    </row>
    <row r="69" spans="1:6" hidden="1" x14ac:dyDescent="0.3">
      <c r="A69" s="267" t="s">
        <v>2652</v>
      </c>
      <c r="B69" s="267"/>
      <c r="C69" s="267"/>
      <c r="D69" s="270" t="s">
        <v>2672</v>
      </c>
      <c r="E69" s="226"/>
      <c r="F69" s="268" t="s">
        <v>2654</v>
      </c>
    </row>
    <row r="70" spans="1:6" hidden="1" x14ac:dyDescent="0.3">
      <c r="A70" s="269" t="s">
        <v>2655</v>
      </c>
      <c r="B70" s="279"/>
      <c r="C70" s="279"/>
      <c r="D70" s="226"/>
      <c r="E70" s="226"/>
    </row>
    <row r="71" spans="1:6" hidden="1" x14ac:dyDescent="0.3">
      <c r="A71" t="s">
        <v>2657</v>
      </c>
      <c r="B71" s="279" t="s">
        <v>2655</v>
      </c>
      <c r="C71" s="279">
        <v>465090</v>
      </c>
      <c r="D71" s="272"/>
      <c r="E71" s="226"/>
    </row>
    <row r="72" spans="1:6" hidden="1" x14ac:dyDescent="0.3">
      <c r="A72" t="s">
        <v>2659</v>
      </c>
      <c r="B72" s="279" t="s">
        <v>2655</v>
      </c>
      <c r="C72" s="279">
        <v>465040</v>
      </c>
      <c r="D72" s="272"/>
      <c r="E72" s="226"/>
    </row>
    <row r="73" spans="1:6" hidden="1" x14ac:dyDescent="0.3">
      <c r="A73" t="s">
        <v>55</v>
      </c>
      <c r="B73" s="279" t="s">
        <v>2655</v>
      </c>
      <c r="C73" s="279">
        <v>468000</v>
      </c>
      <c r="D73" s="272"/>
      <c r="E73" s="226"/>
    </row>
    <row r="74" spans="1:6" hidden="1" x14ac:dyDescent="0.3">
      <c r="A74" t="s">
        <v>2662</v>
      </c>
      <c r="B74" s="279" t="s">
        <v>2676</v>
      </c>
      <c r="C74" s="279">
        <v>461020</v>
      </c>
      <c r="D74" s="272"/>
      <c r="E74" s="226"/>
    </row>
    <row r="75" spans="1:6" hidden="1" x14ac:dyDescent="0.3">
      <c r="A75" t="s">
        <v>2664</v>
      </c>
      <c r="B75" s="279" t="s">
        <v>2676</v>
      </c>
      <c r="C75" s="279">
        <v>476000</v>
      </c>
      <c r="D75" s="272"/>
      <c r="E75" s="226"/>
    </row>
    <row r="76" spans="1:6" hidden="1" x14ac:dyDescent="0.3">
      <c r="A76" t="s">
        <v>108</v>
      </c>
      <c r="B76" s="279" t="s">
        <v>2655</v>
      </c>
      <c r="C76" s="279">
        <v>465010</v>
      </c>
      <c r="D76" s="272"/>
      <c r="E76" s="226"/>
    </row>
    <row r="77" spans="1:6" hidden="1" x14ac:dyDescent="0.3">
      <c r="B77" s="279" t="s">
        <v>126</v>
      </c>
      <c r="C77" s="279">
        <v>465010</v>
      </c>
      <c r="D77" s="272"/>
      <c r="E77" s="226"/>
    </row>
    <row r="78" spans="1:6" hidden="1" x14ac:dyDescent="0.3">
      <c r="B78" s="279" t="s">
        <v>2655</v>
      </c>
      <c r="C78" s="279">
        <v>465090</v>
      </c>
      <c r="D78" s="272"/>
      <c r="E78" s="226"/>
    </row>
    <row r="79" spans="1:6" hidden="1" x14ac:dyDescent="0.3">
      <c r="B79" s="279" t="s">
        <v>2655</v>
      </c>
      <c r="C79" s="279">
        <v>465090</v>
      </c>
      <c r="D79" s="272"/>
      <c r="E79" s="226"/>
    </row>
    <row r="80" spans="1:6" hidden="1" x14ac:dyDescent="0.3">
      <c r="B80" s="279" t="s">
        <v>2655</v>
      </c>
      <c r="C80" s="279">
        <v>465090</v>
      </c>
      <c r="D80" s="274"/>
      <c r="E80" s="226"/>
    </row>
    <row r="81" spans="1:5" hidden="1" x14ac:dyDescent="0.3">
      <c r="D81" s="272">
        <v>667576</v>
      </c>
      <c r="E81" s="226"/>
    </row>
    <row r="82" spans="1:5" hidden="1" x14ac:dyDescent="0.3">
      <c r="A82" s="273" t="s">
        <v>2667</v>
      </c>
      <c r="B82" s="273"/>
      <c r="C82" s="273"/>
      <c r="D82" s="272"/>
      <c r="E82" s="226"/>
    </row>
    <row r="83" spans="1:5" hidden="1" x14ac:dyDescent="0.3">
      <c r="A83" t="s">
        <v>2668</v>
      </c>
      <c r="D83" s="272"/>
      <c r="E83" s="226"/>
    </row>
    <row r="84" spans="1:5" hidden="1" x14ac:dyDescent="0.3">
      <c r="A84" t="s">
        <v>2682</v>
      </c>
      <c r="B84" s="279" t="s">
        <v>2676</v>
      </c>
      <c r="C84">
        <v>464020</v>
      </c>
      <c r="D84" s="272"/>
      <c r="E84" s="226"/>
    </row>
    <row r="85" spans="1:5" hidden="1" x14ac:dyDescent="0.3">
      <c r="A85" t="s">
        <v>2684</v>
      </c>
      <c r="B85" s="279" t="s">
        <v>2676</v>
      </c>
      <c r="C85">
        <v>464030</v>
      </c>
      <c r="D85" s="272"/>
      <c r="E85" s="226"/>
    </row>
    <row r="86" spans="1:5" hidden="1" x14ac:dyDescent="0.3">
      <c r="A86" t="s">
        <v>2686</v>
      </c>
      <c r="B86" s="279" t="s">
        <v>2676</v>
      </c>
      <c r="C86">
        <v>471020</v>
      </c>
      <c r="D86" s="274"/>
      <c r="E86" s="226"/>
    </row>
    <row r="87" spans="1:5" hidden="1" x14ac:dyDescent="0.3">
      <c r="D87" s="272">
        <v>141580</v>
      </c>
      <c r="E87" s="226"/>
    </row>
    <row r="88" spans="1:5" hidden="1" x14ac:dyDescent="0.3">
      <c r="D88" s="280">
        <f>SUM(D71:D87)</f>
        <v>809156</v>
      </c>
      <c r="E88" s="226"/>
    </row>
    <row r="89" spans="1:5" hidden="1" x14ac:dyDescent="0.3">
      <c r="D89" s="226"/>
      <c r="E89" s="226"/>
    </row>
    <row r="90" spans="1:5" ht="15" thickBot="1" x14ac:dyDescent="0.35">
      <c r="D90" s="282">
        <f>+D3+D21+D45+D66</f>
        <v>1652156</v>
      </c>
      <c r="E90" s="283">
        <f>+E3+E21+E45+E66</f>
        <v>49564.68</v>
      </c>
    </row>
    <row r="92" spans="1:5" x14ac:dyDescent="0.3">
      <c r="A92" s="266" t="s">
        <v>2695</v>
      </c>
      <c r="C92" s="284">
        <v>0.02</v>
      </c>
      <c r="D92" s="285">
        <f>+D90*0.02</f>
        <v>33043.120000000003</v>
      </c>
    </row>
    <row r="93" spans="1:5" x14ac:dyDescent="0.3">
      <c r="C93" s="196"/>
      <c r="D93" s="285"/>
    </row>
    <row r="94" spans="1:5" x14ac:dyDescent="0.3">
      <c r="C94" s="284">
        <v>0.03</v>
      </c>
      <c r="D94" s="285">
        <f>+D90*0.03</f>
        <v>49564.68</v>
      </c>
    </row>
    <row r="95" spans="1:5" x14ac:dyDescent="0.3">
      <c r="C95" s="196"/>
    </row>
  </sheetData>
  <mergeCells count="1">
    <mergeCell ref="D6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68"/>
  <sheetViews>
    <sheetView topLeftCell="A115" zoomScale="77" zoomScaleNormal="77" workbookViewId="0">
      <selection activeCell="O160" sqref="O160"/>
    </sheetView>
  </sheetViews>
  <sheetFormatPr defaultColWidth="8.77734375" defaultRowHeight="14.4" x14ac:dyDescent="0.3"/>
  <cols>
    <col min="1" max="1" width="18.6640625" customWidth="1"/>
    <col min="2" max="2" width="50.44140625" bestFit="1" customWidth="1"/>
    <col min="3" max="3" width="12.6640625" hidden="1" customWidth="1"/>
    <col min="4" max="4" width="0" hidden="1" customWidth="1"/>
    <col min="5" max="5" width="37" hidden="1" customWidth="1"/>
    <col min="6" max="6" width="0" hidden="1" customWidth="1"/>
    <col min="7" max="7" width="33.44140625" hidden="1" customWidth="1"/>
    <col min="8" max="8" width="18" hidden="1" customWidth="1"/>
    <col min="10" max="10" width="31.6640625" customWidth="1"/>
    <col min="11" max="11" width="19.6640625" hidden="1" customWidth="1"/>
    <col min="13" max="13" width="36.6640625" customWidth="1"/>
    <col min="14" max="14" width="14.6640625" style="226" hidden="1" customWidth="1"/>
    <col min="15" max="15" width="12" bestFit="1" customWidth="1"/>
    <col min="16" max="16" width="15" customWidth="1"/>
    <col min="17" max="17" width="10.6640625" bestFit="1" customWidth="1"/>
  </cols>
  <sheetData>
    <row r="1" spans="1:16" s="230" customFormat="1" x14ac:dyDescent="0.3">
      <c r="A1" s="227" t="s">
        <v>2523</v>
      </c>
      <c r="B1" s="227" t="s">
        <v>2524</v>
      </c>
      <c r="C1" s="227" t="s">
        <v>2525</v>
      </c>
      <c r="D1" s="227" t="s">
        <v>2526</v>
      </c>
      <c r="E1" s="227" t="s">
        <v>2527</v>
      </c>
      <c r="F1" s="227" t="s">
        <v>2528</v>
      </c>
      <c r="G1" s="227" t="s">
        <v>2529</v>
      </c>
      <c r="H1" s="227" t="s">
        <v>2530</v>
      </c>
      <c r="I1" s="227" t="s">
        <v>2531</v>
      </c>
      <c r="J1" s="227" t="s">
        <v>2532</v>
      </c>
      <c r="K1" s="227" t="s">
        <v>2533</v>
      </c>
      <c r="L1" s="227" t="s">
        <v>2534</v>
      </c>
      <c r="M1" s="227" t="s">
        <v>2535</v>
      </c>
      <c r="N1" s="228" t="s">
        <v>2536</v>
      </c>
      <c r="O1" s="229" t="s">
        <v>2537</v>
      </c>
      <c r="P1" s="229" t="s">
        <v>2538</v>
      </c>
    </row>
    <row r="2" spans="1:16" s="230" customFormat="1" x14ac:dyDescent="0.3">
      <c r="A2" s="231" t="s">
        <v>242</v>
      </c>
      <c r="B2" s="230" t="s">
        <v>245</v>
      </c>
      <c r="C2" s="230" t="s">
        <v>243</v>
      </c>
      <c r="D2" s="230" t="s">
        <v>2539</v>
      </c>
      <c r="E2" s="230" t="s">
        <v>2540</v>
      </c>
      <c r="F2" s="231">
        <v>4010</v>
      </c>
      <c r="G2" s="230" t="s">
        <v>2521</v>
      </c>
      <c r="H2" s="230" t="s">
        <v>2541</v>
      </c>
      <c r="I2" s="230">
        <v>1100</v>
      </c>
      <c r="J2" s="230" t="s">
        <v>2542</v>
      </c>
      <c r="K2" s="230" t="s">
        <v>125</v>
      </c>
      <c r="L2" s="230">
        <v>4000</v>
      </c>
      <c r="M2" s="230" t="s">
        <v>125</v>
      </c>
      <c r="N2" s="232">
        <f>-'[1]Payment Notice - Middlesex'!X9</f>
        <v>-16746681</v>
      </c>
      <c r="O2" s="230" t="s">
        <v>2543</v>
      </c>
      <c r="P2" s="229" t="s">
        <v>2544</v>
      </c>
    </row>
    <row r="3" spans="1:16" s="230" customFormat="1" ht="14.7" customHeight="1" x14ac:dyDescent="0.3">
      <c r="A3" s="231" t="s">
        <v>242</v>
      </c>
      <c r="B3" s="230" t="s">
        <v>245</v>
      </c>
      <c r="C3" s="230" t="s">
        <v>243</v>
      </c>
      <c r="D3" s="230" t="s">
        <v>2539</v>
      </c>
      <c r="E3" s="230" t="s">
        <v>2540</v>
      </c>
      <c r="F3" s="231">
        <v>4010</v>
      </c>
      <c r="G3" s="230" t="s">
        <v>2521</v>
      </c>
      <c r="H3" s="230" t="s">
        <v>2541</v>
      </c>
      <c r="I3" s="230">
        <v>1100</v>
      </c>
      <c r="J3" s="230" t="s">
        <v>2542</v>
      </c>
      <c r="K3" s="230" t="s">
        <v>125</v>
      </c>
      <c r="L3" s="230">
        <v>4000</v>
      </c>
      <c r="M3" s="230" t="s">
        <v>125</v>
      </c>
      <c r="N3" s="233">
        <v>-16465853</v>
      </c>
      <c r="O3" s="230" t="s">
        <v>2545</v>
      </c>
      <c r="P3" s="231"/>
    </row>
    <row r="4" spans="1:16" s="230" customFormat="1" ht="14.7" customHeight="1" x14ac:dyDescent="0.3">
      <c r="A4" s="230" t="s">
        <v>286</v>
      </c>
      <c r="B4" s="230" t="s">
        <v>288</v>
      </c>
      <c r="E4" s="230" t="s">
        <v>2540</v>
      </c>
      <c r="F4" s="230">
        <v>4010</v>
      </c>
      <c r="G4" s="230" t="s">
        <v>2521</v>
      </c>
      <c r="H4" s="230" t="s">
        <v>2546</v>
      </c>
      <c r="I4" s="230">
        <v>4500</v>
      </c>
      <c r="J4" s="230" t="s">
        <v>2547</v>
      </c>
      <c r="K4" s="230" t="s">
        <v>2548</v>
      </c>
      <c r="L4" s="230">
        <v>5600</v>
      </c>
      <c r="M4" s="230" t="s">
        <v>2548</v>
      </c>
      <c r="N4" s="234">
        <v>-2595522</v>
      </c>
      <c r="O4" s="230" t="s">
        <v>2543</v>
      </c>
      <c r="P4" s="235" t="s">
        <v>2549</v>
      </c>
    </row>
    <row r="5" spans="1:16" s="230" customFormat="1" ht="14.7" customHeight="1" x14ac:dyDescent="0.3">
      <c r="A5" s="230" t="s">
        <v>286</v>
      </c>
      <c r="B5" s="230" t="s">
        <v>288</v>
      </c>
      <c r="E5" s="230" t="s">
        <v>2540</v>
      </c>
      <c r="F5" s="230">
        <v>4010</v>
      </c>
      <c r="G5" s="230" t="s">
        <v>2521</v>
      </c>
      <c r="H5" s="230" t="s">
        <v>2546</v>
      </c>
      <c r="I5" s="230">
        <v>4500</v>
      </c>
      <c r="J5" s="230" t="s">
        <v>2547</v>
      </c>
      <c r="K5" s="230" t="s">
        <v>2548</v>
      </c>
      <c r="L5" s="230">
        <v>5600</v>
      </c>
      <c r="M5" s="230" t="s">
        <v>2548</v>
      </c>
      <c r="N5" s="233">
        <v>-2537600</v>
      </c>
      <c r="O5" s="230" t="s">
        <v>2545</v>
      </c>
      <c r="P5" s="231"/>
    </row>
    <row r="6" spans="1:16" s="230" customFormat="1" ht="14.7" customHeight="1" x14ac:dyDescent="0.3">
      <c r="A6" s="230" t="s">
        <v>282</v>
      </c>
      <c r="B6" s="230" t="s">
        <v>2550</v>
      </c>
      <c r="C6" s="230" t="s">
        <v>243</v>
      </c>
      <c r="D6" s="230" t="s">
        <v>2539</v>
      </c>
      <c r="E6" s="230" t="s">
        <v>2540</v>
      </c>
      <c r="F6" s="236">
        <v>4010</v>
      </c>
      <c r="G6" s="230" t="s">
        <v>2521</v>
      </c>
      <c r="H6" s="230" t="s">
        <v>2551</v>
      </c>
      <c r="I6" s="230">
        <v>4420</v>
      </c>
      <c r="J6" s="230" t="s">
        <v>2552</v>
      </c>
      <c r="K6" s="230" t="s">
        <v>125</v>
      </c>
      <c r="L6" s="230">
        <v>4100</v>
      </c>
      <c r="M6" s="230" t="s">
        <v>125</v>
      </c>
      <c r="N6" s="232">
        <v>-718000</v>
      </c>
      <c r="O6" s="230" t="s">
        <v>2543</v>
      </c>
      <c r="P6" s="235" t="s">
        <v>2553</v>
      </c>
    </row>
    <row r="7" spans="1:16" s="230" customFormat="1" ht="14.7" customHeight="1" x14ac:dyDescent="0.3">
      <c r="A7" s="230" t="s">
        <v>282</v>
      </c>
      <c r="B7" s="230" t="s">
        <v>2550</v>
      </c>
      <c r="C7" s="230" t="s">
        <v>243</v>
      </c>
      <c r="D7" s="230" t="s">
        <v>2539</v>
      </c>
      <c r="E7" s="230" t="s">
        <v>2540</v>
      </c>
      <c r="F7" s="236">
        <v>4010</v>
      </c>
      <c r="G7" s="230" t="s">
        <v>2521</v>
      </c>
      <c r="H7" s="230" t="s">
        <v>2551</v>
      </c>
      <c r="I7" s="230">
        <v>4420</v>
      </c>
      <c r="J7" s="230" t="s">
        <v>2552</v>
      </c>
      <c r="K7" s="230" t="s">
        <v>125</v>
      </c>
      <c r="L7" s="230">
        <v>4100</v>
      </c>
      <c r="M7" s="230" t="s">
        <v>125</v>
      </c>
      <c r="N7" s="233">
        <v>-718000</v>
      </c>
      <c r="O7" s="230" t="s">
        <v>2545</v>
      </c>
      <c r="P7" s="231"/>
    </row>
    <row r="8" spans="1:16" s="230" customFormat="1" ht="14.7" customHeight="1" x14ac:dyDescent="0.3">
      <c r="A8" s="231" t="s">
        <v>437</v>
      </c>
      <c r="B8" s="230" t="s">
        <v>2554</v>
      </c>
      <c r="E8" s="230" t="s">
        <v>2555</v>
      </c>
      <c r="F8" s="231">
        <v>4200</v>
      </c>
      <c r="G8" s="230" t="s">
        <v>433</v>
      </c>
      <c r="H8" s="230" t="s">
        <v>2556</v>
      </c>
      <c r="I8" s="230">
        <v>3110</v>
      </c>
      <c r="J8" s="230" t="s">
        <v>2557</v>
      </c>
      <c r="K8" s="230" t="s">
        <v>433</v>
      </c>
      <c r="L8" s="230">
        <v>2000</v>
      </c>
      <c r="M8" s="230" t="s">
        <v>2558</v>
      </c>
      <c r="N8" s="234">
        <f>-129000-896886-96000</f>
        <v>-1121886</v>
      </c>
      <c r="O8" s="230" t="s">
        <v>2543</v>
      </c>
      <c r="P8" s="230" t="s">
        <v>2559</v>
      </c>
    </row>
    <row r="9" spans="1:16" s="230" customFormat="1" ht="14.7" customHeight="1" x14ac:dyDescent="0.3">
      <c r="A9" s="231" t="s">
        <v>437</v>
      </c>
      <c r="B9" s="230" t="s">
        <v>2554</v>
      </c>
      <c r="E9" s="230" t="s">
        <v>2555</v>
      </c>
      <c r="F9" s="231">
        <v>4200</v>
      </c>
      <c r="G9" s="230" t="s">
        <v>433</v>
      </c>
      <c r="H9" s="230" t="s">
        <v>2556</v>
      </c>
      <c r="I9" s="230">
        <v>3110</v>
      </c>
      <c r="J9" s="230" t="s">
        <v>2557</v>
      </c>
      <c r="K9" s="230" t="s">
        <v>433</v>
      </c>
      <c r="L9" s="230">
        <v>2000</v>
      </c>
      <c r="M9" s="230" t="s">
        <v>2558</v>
      </c>
      <c r="N9" s="233">
        <v>-713720</v>
      </c>
      <c r="O9" s="230" t="s">
        <v>2545</v>
      </c>
      <c r="P9" s="231"/>
    </row>
    <row r="10" spans="1:16" s="230" customFormat="1" ht="14.7" customHeight="1" x14ac:dyDescent="0.3">
      <c r="A10" s="230" t="s">
        <v>333</v>
      </c>
      <c r="B10" s="230" t="s">
        <v>334</v>
      </c>
      <c r="E10" s="230" t="s">
        <v>2560</v>
      </c>
      <c r="F10" s="230">
        <v>4110</v>
      </c>
      <c r="G10" s="230" t="s">
        <v>2561</v>
      </c>
      <c r="H10" s="230" t="s">
        <v>2546</v>
      </c>
      <c r="I10" s="230">
        <v>4500</v>
      </c>
      <c r="J10" s="230" t="s">
        <v>2547</v>
      </c>
      <c r="K10" s="230" t="s">
        <v>2548</v>
      </c>
      <c r="L10" s="230">
        <v>5600</v>
      </c>
      <c r="M10" s="230" t="s">
        <v>2548</v>
      </c>
      <c r="N10" s="232">
        <f>-(689277-11528)</f>
        <v>-677749</v>
      </c>
      <c r="O10" s="230" t="s">
        <v>2543</v>
      </c>
      <c r="P10" s="235" t="s">
        <v>2549</v>
      </c>
    </row>
    <row r="11" spans="1:16" s="230" customFormat="1" ht="14.7" customHeight="1" x14ac:dyDescent="0.3">
      <c r="A11" s="230" t="s">
        <v>333</v>
      </c>
      <c r="B11" s="230" t="s">
        <v>334</v>
      </c>
      <c r="E11" s="230" t="s">
        <v>2560</v>
      </c>
      <c r="F11" s="230">
        <v>4110</v>
      </c>
      <c r="G11" s="230" t="s">
        <v>2561</v>
      </c>
      <c r="H11" s="230" t="s">
        <v>2546</v>
      </c>
      <c r="I11" s="230">
        <v>4500</v>
      </c>
      <c r="J11" s="230" t="s">
        <v>2547</v>
      </c>
      <c r="K11" s="230" t="s">
        <v>2548</v>
      </c>
      <c r="L11" s="230">
        <v>5600</v>
      </c>
      <c r="M11" s="230" t="s">
        <v>2548</v>
      </c>
      <c r="N11" s="233">
        <v>-677750</v>
      </c>
      <c r="O11" s="230" t="s">
        <v>2545</v>
      </c>
      <c r="P11" s="230" t="s">
        <v>2562</v>
      </c>
    </row>
    <row r="12" spans="1:16" s="230" customFormat="1" ht="14.7" customHeight="1" x14ac:dyDescent="0.3">
      <c r="A12" s="236" t="s">
        <v>262</v>
      </c>
      <c r="B12" s="230" t="s">
        <v>265</v>
      </c>
      <c r="E12" s="230" t="s">
        <v>2540</v>
      </c>
      <c r="F12" s="236">
        <v>4010</v>
      </c>
      <c r="G12" s="230" t="s">
        <v>2521</v>
      </c>
      <c r="H12" s="230" t="s">
        <v>2563</v>
      </c>
      <c r="I12" s="230">
        <v>4100</v>
      </c>
      <c r="J12" s="230" t="s">
        <v>2564</v>
      </c>
      <c r="K12" s="230" t="s">
        <v>2565</v>
      </c>
      <c r="L12" s="230">
        <v>5410</v>
      </c>
      <c r="M12" s="230" t="s">
        <v>2566</v>
      </c>
      <c r="N12" s="234">
        <v>-568895</v>
      </c>
      <c r="O12" s="230" t="s">
        <v>2543</v>
      </c>
      <c r="P12" s="235" t="s">
        <v>2567</v>
      </c>
    </row>
    <row r="13" spans="1:16" s="230" customFormat="1" ht="14.7" customHeight="1" x14ac:dyDescent="0.3">
      <c r="A13" s="236" t="s">
        <v>262</v>
      </c>
      <c r="B13" s="230" t="s">
        <v>265</v>
      </c>
      <c r="E13" s="230" t="s">
        <v>2540</v>
      </c>
      <c r="F13" s="236">
        <v>4010</v>
      </c>
      <c r="G13" s="230" t="s">
        <v>2521</v>
      </c>
      <c r="H13" s="230" t="s">
        <v>2563</v>
      </c>
      <c r="I13" s="230">
        <v>4100</v>
      </c>
      <c r="J13" s="230" t="s">
        <v>2564</v>
      </c>
      <c r="K13" s="230" t="s">
        <v>2565</v>
      </c>
      <c r="L13" s="230">
        <v>5410</v>
      </c>
      <c r="M13" s="230" t="s">
        <v>2566</v>
      </c>
      <c r="N13" s="233">
        <v>-556200</v>
      </c>
      <c r="O13" s="230" t="s">
        <v>2545</v>
      </c>
      <c r="P13" s="231"/>
    </row>
    <row r="14" spans="1:16" s="230" customFormat="1" ht="14.7" customHeight="1" x14ac:dyDescent="0.3">
      <c r="A14" s="231" t="s">
        <v>2510</v>
      </c>
      <c r="B14" s="230" t="s">
        <v>2511</v>
      </c>
      <c r="C14" s="230" t="s">
        <v>243</v>
      </c>
      <c r="D14" s="230" t="s">
        <v>2539</v>
      </c>
      <c r="E14" s="230" t="s">
        <v>2568</v>
      </c>
      <c r="F14" s="231">
        <v>7000</v>
      </c>
      <c r="G14" s="230" t="s">
        <v>2511</v>
      </c>
      <c r="H14" s="230" t="s">
        <v>2569</v>
      </c>
      <c r="I14" s="230">
        <v>2000</v>
      </c>
      <c r="J14" s="230" t="s">
        <v>2570</v>
      </c>
      <c r="K14" s="230" t="s">
        <v>125</v>
      </c>
      <c r="L14" s="230">
        <v>4000</v>
      </c>
      <c r="M14" s="230" t="s">
        <v>125</v>
      </c>
      <c r="N14" s="232">
        <v>-568052</v>
      </c>
      <c r="O14" s="230" t="s">
        <v>2543</v>
      </c>
      <c r="P14" s="230" t="s">
        <v>2571</v>
      </c>
    </row>
    <row r="15" spans="1:16" s="230" customFormat="1" ht="14.7" customHeight="1" x14ac:dyDescent="0.3">
      <c r="A15" s="231" t="s">
        <v>2510</v>
      </c>
      <c r="B15" s="230" t="s">
        <v>2511</v>
      </c>
      <c r="C15" s="230" t="s">
        <v>243</v>
      </c>
      <c r="D15" s="230" t="s">
        <v>2539</v>
      </c>
      <c r="E15" s="230" t="s">
        <v>2568</v>
      </c>
      <c r="F15" s="231">
        <v>7000</v>
      </c>
      <c r="G15" s="230" t="s">
        <v>2511</v>
      </c>
      <c r="H15" s="230" t="s">
        <v>2569</v>
      </c>
      <c r="I15" s="230">
        <v>2000</v>
      </c>
      <c r="J15" s="230" t="s">
        <v>2570</v>
      </c>
      <c r="K15" s="230" t="s">
        <v>125</v>
      </c>
      <c r="L15" s="230">
        <v>4000</v>
      </c>
      <c r="M15" s="230" t="s">
        <v>125</v>
      </c>
      <c r="N15" s="233">
        <v>-554044</v>
      </c>
      <c r="O15" s="230" t="s">
        <v>2545</v>
      </c>
      <c r="P15" s="231"/>
    </row>
    <row r="16" spans="1:16" s="230" customFormat="1" ht="14.7" customHeight="1" x14ac:dyDescent="0.3">
      <c r="A16" s="230" t="s">
        <v>297</v>
      </c>
      <c r="B16" s="230" t="s">
        <v>298</v>
      </c>
      <c r="E16" s="230" t="s">
        <v>2540</v>
      </c>
      <c r="F16" s="236">
        <v>4010</v>
      </c>
      <c r="G16" s="230" t="s">
        <v>2521</v>
      </c>
      <c r="H16" s="230" t="s">
        <v>2563</v>
      </c>
      <c r="I16" s="230">
        <v>6400</v>
      </c>
      <c r="J16" s="230" t="s">
        <v>2572</v>
      </c>
      <c r="K16" s="230" t="s">
        <v>2573</v>
      </c>
      <c r="L16" s="230">
        <v>5300</v>
      </c>
      <c r="M16" s="230" t="s">
        <v>2574</v>
      </c>
      <c r="N16" s="234">
        <v>-511977</v>
      </c>
      <c r="O16" s="230" t="s">
        <v>2543</v>
      </c>
      <c r="P16" s="235" t="s">
        <v>2575</v>
      </c>
    </row>
    <row r="17" spans="1:26" s="230" customFormat="1" ht="14.7" customHeight="1" x14ac:dyDescent="0.3">
      <c r="A17" s="230" t="s">
        <v>297</v>
      </c>
      <c r="B17" s="230" t="s">
        <v>298</v>
      </c>
      <c r="E17" s="230" t="s">
        <v>2540</v>
      </c>
      <c r="F17" s="236">
        <v>4010</v>
      </c>
      <c r="G17" s="230" t="s">
        <v>2521</v>
      </c>
      <c r="H17" s="230" t="s">
        <v>2563</v>
      </c>
      <c r="I17" s="230">
        <v>6400</v>
      </c>
      <c r="J17" s="230" t="s">
        <v>2572</v>
      </c>
      <c r="K17" s="230" t="s">
        <v>2573</v>
      </c>
      <c r="L17" s="230">
        <v>5300</v>
      </c>
      <c r="M17" s="230" t="s">
        <v>2574</v>
      </c>
      <c r="N17" s="233">
        <v>-501475</v>
      </c>
      <c r="O17" s="230" t="s">
        <v>2545</v>
      </c>
      <c r="P17" s="231"/>
    </row>
    <row r="18" spans="1:26" s="230" customFormat="1" ht="14.7" customHeight="1" x14ac:dyDescent="0.3">
      <c r="A18" s="231" t="s">
        <v>2484</v>
      </c>
      <c r="B18" s="230" t="s">
        <v>2485</v>
      </c>
      <c r="C18" s="230" t="s">
        <v>243</v>
      </c>
      <c r="D18" s="230" t="s">
        <v>2539</v>
      </c>
      <c r="E18" s="230" t="s">
        <v>2576</v>
      </c>
      <c r="F18" s="231">
        <v>6100</v>
      </c>
      <c r="G18" s="230" t="s">
        <v>2485</v>
      </c>
      <c r="H18" s="230" t="s">
        <v>2577</v>
      </c>
      <c r="I18" s="230">
        <v>1100</v>
      </c>
      <c r="J18" s="230" t="s">
        <v>2542</v>
      </c>
      <c r="K18" s="230" t="s">
        <v>125</v>
      </c>
      <c r="L18" s="230">
        <v>4000</v>
      </c>
      <c r="M18" s="230" t="s">
        <v>125</v>
      </c>
      <c r="N18" s="232">
        <v>-435620</v>
      </c>
      <c r="O18" s="230" t="s">
        <v>2543</v>
      </c>
      <c r="P18" s="230" t="s">
        <v>2578</v>
      </c>
    </row>
    <row r="19" spans="1:26" s="230" customFormat="1" ht="14.7" customHeight="1" x14ac:dyDescent="0.3">
      <c r="A19" s="231" t="s">
        <v>2484</v>
      </c>
      <c r="B19" s="230" t="s">
        <v>2485</v>
      </c>
      <c r="C19" s="230" t="s">
        <v>243</v>
      </c>
      <c r="D19" s="230" t="s">
        <v>2539</v>
      </c>
      <c r="E19" s="230" t="s">
        <v>2576</v>
      </c>
      <c r="F19" s="231">
        <v>6100</v>
      </c>
      <c r="G19" s="230" t="s">
        <v>2485</v>
      </c>
      <c r="H19" s="230" t="s">
        <v>2577</v>
      </c>
      <c r="I19" s="230">
        <v>1100</v>
      </c>
      <c r="J19" s="230" t="s">
        <v>2542</v>
      </c>
      <c r="K19" s="230" t="s">
        <v>125</v>
      </c>
      <c r="L19" s="230">
        <v>4000</v>
      </c>
      <c r="M19" s="230" t="s">
        <v>125</v>
      </c>
      <c r="N19" s="233">
        <v>-435620</v>
      </c>
      <c r="O19" s="230" t="s">
        <v>2545</v>
      </c>
      <c r="P19" s="231"/>
    </row>
    <row r="20" spans="1:26" s="230" customFormat="1" ht="14.7" customHeight="1" x14ac:dyDescent="0.3">
      <c r="A20" s="236" t="s">
        <v>279</v>
      </c>
      <c r="B20" s="230" t="s">
        <v>281</v>
      </c>
      <c r="E20" s="230" t="s">
        <v>2540</v>
      </c>
      <c r="F20" s="236">
        <v>4010</v>
      </c>
      <c r="G20" s="230" t="s">
        <v>2521</v>
      </c>
      <c r="H20" s="230" t="s">
        <v>2546</v>
      </c>
      <c r="I20" s="230">
        <v>4221</v>
      </c>
      <c r="J20" s="230" t="s">
        <v>2579</v>
      </c>
      <c r="K20" s="230" t="s">
        <v>2580</v>
      </c>
      <c r="L20" s="230">
        <v>5500</v>
      </c>
      <c r="M20" s="230" t="s">
        <v>2581</v>
      </c>
      <c r="N20" s="232">
        <v>-391435</v>
      </c>
      <c r="O20" s="230" t="s">
        <v>2543</v>
      </c>
      <c r="P20" s="235" t="s">
        <v>2567</v>
      </c>
    </row>
    <row r="21" spans="1:26" s="230" customFormat="1" ht="14.7" customHeight="1" x14ac:dyDescent="0.3">
      <c r="A21" s="236" t="s">
        <v>279</v>
      </c>
      <c r="B21" s="230" t="s">
        <v>281</v>
      </c>
      <c r="E21" s="230" t="s">
        <v>2540</v>
      </c>
      <c r="F21" s="236">
        <v>4010</v>
      </c>
      <c r="G21" s="230" t="s">
        <v>2521</v>
      </c>
      <c r="H21" s="230" t="s">
        <v>2546</v>
      </c>
      <c r="I21" s="230">
        <v>4221</v>
      </c>
      <c r="J21" s="230" t="s">
        <v>2579</v>
      </c>
      <c r="K21" s="230" t="s">
        <v>2580</v>
      </c>
      <c r="L21" s="230">
        <v>5500</v>
      </c>
      <c r="M21" s="230" t="s">
        <v>2581</v>
      </c>
      <c r="N21" s="233">
        <v>-382700</v>
      </c>
      <c r="O21" s="230" t="s">
        <v>2545</v>
      </c>
      <c r="P21" s="231"/>
    </row>
    <row r="22" spans="1:26" s="230" customFormat="1" ht="14.7" customHeight="1" x14ac:dyDescent="0.3">
      <c r="A22" s="230" t="s">
        <v>256</v>
      </c>
      <c r="B22" s="230" t="s">
        <v>258</v>
      </c>
      <c r="E22" s="230" t="s">
        <v>2540</v>
      </c>
      <c r="F22" s="230">
        <v>4010</v>
      </c>
      <c r="G22" s="230" t="s">
        <v>2521</v>
      </c>
      <c r="H22" s="230" t="s">
        <v>2582</v>
      </c>
      <c r="I22" s="230">
        <v>3120</v>
      </c>
      <c r="J22" s="230" t="s">
        <v>2583</v>
      </c>
      <c r="K22" s="230" t="s">
        <v>2584</v>
      </c>
      <c r="L22" s="230">
        <v>6100</v>
      </c>
      <c r="M22" s="230" t="s">
        <v>2584</v>
      </c>
      <c r="N22" s="232">
        <v>-213520</v>
      </c>
      <c r="O22" s="230" t="s">
        <v>2543</v>
      </c>
      <c r="P22" t="s">
        <v>2585</v>
      </c>
    </row>
    <row r="23" spans="1:26" s="230" customFormat="1" ht="14.7" customHeight="1" x14ac:dyDescent="0.3">
      <c r="A23" s="230" t="s">
        <v>256</v>
      </c>
      <c r="B23" s="230" t="s">
        <v>258</v>
      </c>
      <c r="E23" s="230" t="s">
        <v>2540</v>
      </c>
      <c r="F23" s="230">
        <v>4010</v>
      </c>
      <c r="G23" s="230" t="s">
        <v>2521</v>
      </c>
      <c r="H23" s="230" t="s">
        <v>2582</v>
      </c>
      <c r="I23" s="230">
        <v>3120</v>
      </c>
      <c r="J23" s="230" t="s">
        <v>2583</v>
      </c>
      <c r="K23" s="230" t="s">
        <v>2584</v>
      </c>
      <c r="L23" s="230">
        <v>6100</v>
      </c>
      <c r="M23" s="230" t="s">
        <v>2584</v>
      </c>
      <c r="N23" s="233">
        <v>-213520</v>
      </c>
      <c r="O23" s="230" t="s">
        <v>2545</v>
      </c>
      <c r="P23" t="s">
        <v>2586</v>
      </c>
    </row>
    <row r="24" spans="1:26" s="230" customFormat="1" ht="14.7" customHeight="1" x14ac:dyDescent="0.3">
      <c r="A24" s="230" t="s">
        <v>341</v>
      </c>
      <c r="B24" s="230" t="s">
        <v>342</v>
      </c>
      <c r="E24" s="230" t="s">
        <v>2587</v>
      </c>
      <c r="F24" s="236">
        <v>4110</v>
      </c>
      <c r="G24" s="230" t="s">
        <v>2561</v>
      </c>
      <c r="H24" s="230" t="s">
        <v>2563</v>
      </c>
      <c r="I24" s="230">
        <v>6400</v>
      </c>
      <c r="J24" s="230" t="s">
        <v>2572</v>
      </c>
      <c r="K24" s="230" t="s">
        <v>2573</v>
      </c>
      <c r="L24" s="230">
        <v>5300</v>
      </c>
      <c r="M24" s="230" t="s">
        <v>2574</v>
      </c>
      <c r="N24" s="232">
        <v>-205000</v>
      </c>
      <c r="O24" s="230" t="s">
        <v>2543</v>
      </c>
      <c r="P24" s="235" t="s">
        <v>2575</v>
      </c>
    </row>
    <row r="25" spans="1:26" s="230" customFormat="1" ht="14.7" customHeight="1" x14ac:dyDescent="0.3">
      <c r="A25" s="230" t="s">
        <v>341</v>
      </c>
      <c r="B25" s="230" t="s">
        <v>342</v>
      </c>
      <c r="E25" s="230" t="s">
        <v>2587</v>
      </c>
      <c r="F25" s="236">
        <v>4110</v>
      </c>
      <c r="G25" s="230" t="s">
        <v>2561</v>
      </c>
      <c r="H25" s="230" t="s">
        <v>2563</v>
      </c>
      <c r="I25" s="230">
        <v>6400</v>
      </c>
      <c r="J25" s="230" t="s">
        <v>2572</v>
      </c>
      <c r="K25" s="230" t="s">
        <v>2573</v>
      </c>
      <c r="L25" s="230">
        <v>5300</v>
      </c>
      <c r="M25" s="230" t="s">
        <v>2574</v>
      </c>
      <c r="N25" s="233">
        <v>-205000</v>
      </c>
      <c r="O25" s="230" t="s">
        <v>2545</v>
      </c>
      <c r="P25" s="231"/>
    </row>
    <row r="26" spans="1:26" s="230" customFormat="1" ht="14.7" customHeight="1" x14ac:dyDescent="0.3">
      <c r="A26" s="231" t="s">
        <v>253</v>
      </c>
      <c r="B26" s="230" t="s">
        <v>2588</v>
      </c>
      <c r="E26" s="230" t="s">
        <v>2540</v>
      </c>
      <c r="F26" s="231">
        <v>4010</v>
      </c>
      <c r="G26" s="230" t="s">
        <v>2521</v>
      </c>
      <c r="H26" s="230" t="s">
        <v>2582</v>
      </c>
      <c r="I26" s="230">
        <v>3110</v>
      </c>
      <c r="J26" s="230" t="s">
        <v>2557</v>
      </c>
      <c r="K26" s="230" t="s">
        <v>2589</v>
      </c>
      <c r="L26" s="230">
        <v>6300</v>
      </c>
      <c r="M26" s="230" t="s">
        <v>2590</v>
      </c>
      <c r="N26" s="232">
        <f>+N27-38500</f>
        <v>-191500</v>
      </c>
      <c r="O26" s="230" t="s">
        <v>2543</v>
      </c>
      <c r="P26" s="235" t="s">
        <v>2591</v>
      </c>
      <c r="Z26" s="237" t="s">
        <v>2592</v>
      </c>
    </row>
    <row r="27" spans="1:26" s="230" customFormat="1" ht="14.7" customHeight="1" x14ac:dyDescent="0.3">
      <c r="A27" s="231" t="s">
        <v>253</v>
      </c>
      <c r="B27" s="230" t="s">
        <v>2588</v>
      </c>
      <c r="E27" s="230" t="s">
        <v>2540</v>
      </c>
      <c r="F27" s="231">
        <v>4010</v>
      </c>
      <c r="G27" s="230" t="s">
        <v>2521</v>
      </c>
      <c r="H27" s="230" t="s">
        <v>2582</v>
      </c>
      <c r="I27" s="230">
        <v>3110</v>
      </c>
      <c r="J27" s="230" t="s">
        <v>2557</v>
      </c>
      <c r="K27" s="230" t="s">
        <v>2589</v>
      </c>
      <c r="L27" s="230">
        <v>6300</v>
      </c>
      <c r="M27" s="230" t="s">
        <v>2590</v>
      </c>
      <c r="N27" s="233">
        <v>-153000</v>
      </c>
      <c r="O27" s="230" t="s">
        <v>2545</v>
      </c>
      <c r="P27" s="231"/>
    </row>
    <row r="28" spans="1:26" s="230" customFormat="1" ht="14.7" customHeight="1" x14ac:dyDescent="0.3">
      <c r="A28" s="230" t="s">
        <v>289</v>
      </c>
      <c r="B28" s="230" t="s">
        <v>291</v>
      </c>
      <c r="E28" s="230" t="s">
        <v>2540</v>
      </c>
      <c r="F28" s="236">
        <v>4010</v>
      </c>
      <c r="G28" s="230" t="s">
        <v>2521</v>
      </c>
      <c r="H28" s="230" t="s">
        <v>2593</v>
      </c>
      <c r="I28" s="230">
        <v>5160</v>
      </c>
      <c r="J28" s="230" t="s">
        <v>2594</v>
      </c>
      <c r="K28" s="230" t="s">
        <v>2584</v>
      </c>
      <c r="L28" s="230">
        <v>6100</v>
      </c>
      <c r="M28" s="230" t="s">
        <v>2584</v>
      </c>
      <c r="N28" s="232">
        <v>-146889</v>
      </c>
      <c r="O28" s="230" t="s">
        <v>2543</v>
      </c>
      <c r="P28" s="230" t="s">
        <v>2578</v>
      </c>
    </row>
    <row r="29" spans="1:26" s="230" customFormat="1" ht="14.7" customHeight="1" x14ac:dyDescent="0.3">
      <c r="A29" s="230" t="s">
        <v>289</v>
      </c>
      <c r="B29" s="230" t="s">
        <v>291</v>
      </c>
      <c r="E29" s="230" t="s">
        <v>2540</v>
      </c>
      <c r="F29" s="236">
        <v>4010</v>
      </c>
      <c r="G29" s="230" t="s">
        <v>2521</v>
      </c>
      <c r="H29" s="230" t="s">
        <v>2593</v>
      </c>
      <c r="I29" s="230">
        <v>5160</v>
      </c>
      <c r="J29" s="230" t="s">
        <v>2594</v>
      </c>
      <c r="K29" s="230" t="s">
        <v>2584</v>
      </c>
      <c r="L29" s="230">
        <v>6100</v>
      </c>
      <c r="M29" s="230" t="s">
        <v>2584</v>
      </c>
      <c r="N29" s="233">
        <v>-146889</v>
      </c>
      <c r="O29" s="230" t="s">
        <v>2545</v>
      </c>
      <c r="P29" t="s">
        <v>2586</v>
      </c>
    </row>
    <row r="30" spans="1:26" s="230" customFormat="1" x14ac:dyDescent="0.3">
      <c r="A30" s="231" t="s">
        <v>431</v>
      </c>
      <c r="B30" s="230" t="s">
        <v>433</v>
      </c>
      <c r="E30" s="230" t="s">
        <v>2555</v>
      </c>
      <c r="F30" s="231">
        <v>4200</v>
      </c>
      <c r="G30" s="230" t="s">
        <v>433</v>
      </c>
      <c r="H30" s="230" t="s">
        <v>2556</v>
      </c>
      <c r="I30" s="230">
        <v>1500</v>
      </c>
      <c r="J30" s="230" t="s">
        <v>2595</v>
      </c>
      <c r="K30" s="230" t="s">
        <v>433</v>
      </c>
      <c r="L30" s="230">
        <v>2000</v>
      </c>
      <c r="M30" s="230" t="s">
        <v>2558</v>
      </c>
      <c r="N30" s="232">
        <f>-143552+(-90000)</f>
        <v>-233552</v>
      </c>
      <c r="O30" s="230" t="s">
        <v>2543</v>
      </c>
      <c r="P30" s="230" t="s">
        <v>2596</v>
      </c>
    </row>
    <row r="31" spans="1:26" s="230" customFormat="1" x14ac:dyDescent="0.3">
      <c r="A31" s="231" t="s">
        <v>431</v>
      </c>
      <c r="B31" s="230" t="s">
        <v>433</v>
      </c>
      <c r="E31" s="230" t="s">
        <v>2555</v>
      </c>
      <c r="F31" s="231">
        <v>4200</v>
      </c>
      <c r="G31" s="230" t="s">
        <v>433</v>
      </c>
      <c r="H31" s="230" t="s">
        <v>2556</v>
      </c>
      <c r="I31" s="230">
        <v>1500</v>
      </c>
      <c r="J31" s="230" t="s">
        <v>2595</v>
      </c>
      <c r="K31" s="230" t="s">
        <v>433</v>
      </c>
      <c r="L31" s="230">
        <v>2000</v>
      </c>
      <c r="M31" s="230" t="s">
        <v>2558</v>
      </c>
      <c r="N31" s="233">
        <v>-140300</v>
      </c>
      <c r="O31" s="230" t="s">
        <v>2545</v>
      </c>
      <c r="P31" s="231"/>
    </row>
    <row r="32" spans="1:26" s="230" customFormat="1" ht="14.7" customHeight="1" x14ac:dyDescent="0.3">
      <c r="A32" s="236" t="s">
        <v>269</v>
      </c>
      <c r="B32" s="230" t="s">
        <v>270</v>
      </c>
      <c r="E32" s="230" t="s">
        <v>2540</v>
      </c>
      <c r="F32" s="236">
        <v>4010</v>
      </c>
      <c r="G32" s="230" t="s">
        <v>2521</v>
      </c>
      <c r="H32" s="230" t="s">
        <v>2563</v>
      </c>
      <c r="I32" s="230">
        <v>4100</v>
      </c>
      <c r="J32" s="230" t="s">
        <v>2564</v>
      </c>
      <c r="K32" s="230" t="s">
        <v>2565</v>
      </c>
      <c r="L32" s="230">
        <v>5430</v>
      </c>
      <c r="M32" s="230" t="s">
        <v>2597</v>
      </c>
      <c r="N32" s="232">
        <v>-129797</v>
      </c>
      <c r="O32" s="230" t="s">
        <v>2543</v>
      </c>
      <c r="P32" s="235" t="s">
        <v>2598</v>
      </c>
    </row>
    <row r="33" spans="1:16" s="230" customFormat="1" ht="14.7" customHeight="1" x14ac:dyDescent="0.3">
      <c r="A33" s="236" t="s">
        <v>269</v>
      </c>
      <c r="B33" s="230" t="s">
        <v>270</v>
      </c>
      <c r="E33" s="230" t="s">
        <v>2540</v>
      </c>
      <c r="F33" s="236">
        <v>4010</v>
      </c>
      <c r="G33" s="230" t="s">
        <v>2521</v>
      </c>
      <c r="H33" s="230" t="s">
        <v>2563</v>
      </c>
      <c r="I33" s="230">
        <v>4100</v>
      </c>
      <c r="J33" s="230" t="s">
        <v>2564</v>
      </c>
      <c r="K33" s="230" t="s">
        <v>2565</v>
      </c>
      <c r="L33" s="230">
        <v>5430</v>
      </c>
      <c r="M33" s="230" t="s">
        <v>2597</v>
      </c>
      <c r="N33" s="233">
        <v>-126900</v>
      </c>
      <c r="O33" s="230" t="s">
        <v>2545</v>
      </c>
      <c r="P33" s="231"/>
    </row>
    <row r="34" spans="1:16" s="230" customFormat="1" ht="14.7" customHeight="1" x14ac:dyDescent="0.3">
      <c r="A34" s="236" t="s">
        <v>266</v>
      </c>
      <c r="B34" s="230" t="s">
        <v>268</v>
      </c>
      <c r="E34" s="230" t="s">
        <v>2540</v>
      </c>
      <c r="F34" s="236">
        <v>4010</v>
      </c>
      <c r="G34" s="230" t="s">
        <v>2521</v>
      </c>
      <c r="H34" s="230" t="s">
        <v>2563</v>
      </c>
      <c r="I34" s="230">
        <v>4100</v>
      </c>
      <c r="J34" s="230" t="s">
        <v>2564</v>
      </c>
      <c r="K34" s="230" t="s">
        <v>2565</v>
      </c>
      <c r="L34" s="230">
        <v>5420</v>
      </c>
      <c r="M34" s="230" t="s">
        <v>2599</v>
      </c>
      <c r="N34" s="232">
        <v>-97475</v>
      </c>
      <c r="O34" s="230" t="s">
        <v>2543</v>
      </c>
      <c r="P34" s="235" t="s">
        <v>2600</v>
      </c>
    </row>
    <row r="35" spans="1:16" s="230" customFormat="1" ht="14.7" customHeight="1" x14ac:dyDescent="0.3">
      <c r="A35" s="236" t="s">
        <v>266</v>
      </c>
      <c r="B35" s="230" t="s">
        <v>268</v>
      </c>
      <c r="E35" s="230" t="s">
        <v>2540</v>
      </c>
      <c r="F35" s="236">
        <v>4010</v>
      </c>
      <c r="G35" s="230" t="s">
        <v>2521</v>
      </c>
      <c r="H35" s="230" t="s">
        <v>2563</v>
      </c>
      <c r="I35" s="230">
        <v>4100</v>
      </c>
      <c r="J35" s="230" t="s">
        <v>2564</v>
      </c>
      <c r="K35" s="230" t="s">
        <v>2565</v>
      </c>
      <c r="L35" s="230">
        <v>5420</v>
      </c>
      <c r="M35" s="230" t="s">
        <v>2599</v>
      </c>
      <c r="N35" s="233">
        <v>-95300</v>
      </c>
      <c r="O35" s="230" t="s">
        <v>2545</v>
      </c>
      <c r="P35" s="231"/>
    </row>
    <row r="36" spans="1:16" s="230" customFormat="1" ht="14.7" customHeight="1" x14ac:dyDescent="0.3">
      <c r="A36" s="236" t="s">
        <v>246</v>
      </c>
      <c r="B36" s="230" t="s">
        <v>249</v>
      </c>
      <c r="E36" s="230" t="s">
        <v>2540</v>
      </c>
      <c r="F36" s="236">
        <v>4010</v>
      </c>
      <c r="G36" s="230" t="s">
        <v>2521</v>
      </c>
      <c r="H36" s="230" t="s">
        <v>2569</v>
      </c>
      <c r="I36" s="230">
        <v>2210</v>
      </c>
      <c r="J36" s="230" t="s">
        <v>2601</v>
      </c>
      <c r="K36" s="230" t="s">
        <v>2584</v>
      </c>
      <c r="L36" s="230">
        <v>6100</v>
      </c>
      <c r="M36" s="230" t="s">
        <v>2584</v>
      </c>
      <c r="N36" s="232">
        <v>-94500</v>
      </c>
      <c r="O36" s="230" t="s">
        <v>2543</v>
      </c>
      <c r="P36" s="230" t="s">
        <v>2578</v>
      </c>
    </row>
    <row r="37" spans="1:16" s="230" customFormat="1" ht="14.7" customHeight="1" x14ac:dyDescent="0.3">
      <c r="A37" s="236" t="s">
        <v>246</v>
      </c>
      <c r="B37" s="230" t="s">
        <v>249</v>
      </c>
      <c r="E37" s="230" t="s">
        <v>2540</v>
      </c>
      <c r="F37" s="236">
        <v>4010</v>
      </c>
      <c r="G37" s="230" t="s">
        <v>2521</v>
      </c>
      <c r="H37" s="230" t="s">
        <v>2569</v>
      </c>
      <c r="I37" s="230">
        <v>2210</v>
      </c>
      <c r="J37" s="230" t="s">
        <v>2601</v>
      </c>
      <c r="K37" s="230" t="s">
        <v>2584</v>
      </c>
      <c r="L37" s="230">
        <v>6100</v>
      </c>
      <c r="M37" s="230" t="s">
        <v>2584</v>
      </c>
      <c r="N37" s="233">
        <v>-94500</v>
      </c>
      <c r="O37" s="230" t="s">
        <v>2545</v>
      </c>
      <c r="P37" t="s">
        <v>2586</v>
      </c>
    </row>
    <row r="38" spans="1:16" s="230" customFormat="1" ht="14.7" customHeight="1" x14ac:dyDescent="0.3">
      <c r="A38" s="236" t="s">
        <v>277</v>
      </c>
      <c r="B38" s="230" t="s">
        <v>2602</v>
      </c>
      <c r="E38" s="230" t="s">
        <v>2540</v>
      </c>
      <c r="F38" s="236">
        <v>4010</v>
      </c>
      <c r="G38" s="230" t="s">
        <v>2521</v>
      </c>
      <c r="H38" s="230" t="s">
        <v>2546</v>
      </c>
      <c r="I38" s="230">
        <v>4210</v>
      </c>
      <c r="J38" s="230" t="s">
        <v>2603</v>
      </c>
      <c r="K38" s="230" t="s">
        <v>2604</v>
      </c>
      <c r="L38" s="230">
        <v>6300</v>
      </c>
      <c r="M38" s="230" t="s">
        <v>2590</v>
      </c>
      <c r="N38" s="232">
        <f>+N39-20000</f>
        <v>-100000</v>
      </c>
      <c r="O38" s="230" t="s">
        <v>2543</v>
      </c>
      <c r="P38" s="237" t="s">
        <v>2592</v>
      </c>
    </row>
    <row r="39" spans="1:16" s="230" customFormat="1" ht="14.7" customHeight="1" x14ac:dyDescent="0.3">
      <c r="A39" s="236" t="s">
        <v>277</v>
      </c>
      <c r="B39" s="230" t="s">
        <v>2602</v>
      </c>
      <c r="E39" s="230" t="s">
        <v>2540</v>
      </c>
      <c r="F39" s="236">
        <v>4010</v>
      </c>
      <c r="G39" s="230" t="s">
        <v>2521</v>
      </c>
      <c r="H39" s="230" t="s">
        <v>2546</v>
      </c>
      <c r="I39" s="230">
        <v>4210</v>
      </c>
      <c r="J39" s="230" t="s">
        <v>2603</v>
      </c>
      <c r="K39" s="230" t="s">
        <v>2604</v>
      </c>
      <c r="L39" s="230">
        <v>6300</v>
      </c>
      <c r="M39" s="230" t="s">
        <v>2590</v>
      </c>
      <c r="N39" s="233">
        <v>-80000</v>
      </c>
      <c r="O39" s="230" t="s">
        <v>2545</v>
      </c>
      <c r="P39" s="231"/>
    </row>
    <row r="40" spans="1:16" s="230" customFormat="1" ht="14.7" customHeight="1" x14ac:dyDescent="0.3">
      <c r="A40" s="230" t="s">
        <v>305</v>
      </c>
      <c r="B40" s="230" t="s">
        <v>307</v>
      </c>
      <c r="E40" s="230" t="s">
        <v>2605</v>
      </c>
      <c r="F40" s="236">
        <v>4020</v>
      </c>
      <c r="G40" s="230" t="s">
        <v>2522</v>
      </c>
      <c r="H40" s="230" t="s">
        <v>2593</v>
      </c>
      <c r="I40" s="230">
        <v>5130</v>
      </c>
      <c r="J40" s="230" t="s">
        <v>2606</v>
      </c>
      <c r="K40" s="230" t="s">
        <v>2607</v>
      </c>
      <c r="L40" s="230">
        <v>7020</v>
      </c>
      <c r="M40" s="230" t="s">
        <v>2608</v>
      </c>
      <c r="N40" s="232">
        <f>+N41</f>
        <v>-78227</v>
      </c>
      <c r="O40" s="230" t="s">
        <v>2543</v>
      </c>
      <c r="P40" s="230" t="s">
        <v>2578</v>
      </c>
    </row>
    <row r="41" spans="1:16" s="230" customFormat="1" ht="14.7" customHeight="1" x14ac:dyDescent="0.3">
      <c r="A41" s="230" t="s">
        <v>305</v>
      </c>
      <c r="B41" s="230" t="s">
        <v>307</v>
      </c>
      <c r="E41" s="230" t="s">
        <v>2605</v>
      </c>
      <c r="F41" s="236">
        <v>4020</v>
      </c>
      <c r="G41" s="230" t="s">
        <v>2522</v>
      </c>
      <c r="H41" s="230" t="s">
        <v>2593</v>
      </c>
      <c r="I41" s="230">
        <v>5130</v>
      </c>
      <c r="J41" s="230" t="s">
        <v>2606</v>
      </c>
      <c r="K41" s="230" t="s">
        <v>2607</v>
      </c>
      <c r="L41" s="230">
        <v>7020</v>
      </c>
      <c r="M41" s="230" t="s">
        <v>2608</v>
      </c>
      <c r="N41" s="233">
        <v>-78227</v>
      </c>
      <c r="O41" s="230" t="s">
        <v>2545</v>
      </c>
      <c r="P41" s="231"/>
    </row>
    <row r="42" spans="1:16" s="230" customFormat="1" ht="14.7" customHeight="1" x14ac:dyDescent="0.3">
      <c r="A42" s="236" t="s">
        <v>271</v>
      </c>
      <c r="B42" s="230" t="s">
        <v>272</v>
      </c>
      <c r="E42" s="230" t="s">
        <v>2540</v>
      </c>
      <c r="F42" s="236">
        <v>4010</v>
      </c>
      <c r="G42" s="230" t="s">
        <v>2521</v>
      </c>
      <c r="H42" s="230" t="s">
        <v>2563</v>
      </c>
      <c r="I42" s="230">
        <v>4100</v>
      </c>
      <c r="J42" s="230" t="s">
        <v>2564</v>
      </c>
      <c r="K42" s="230" t="s">
        <v>2565</v>
      </c>
      <c r="L42" s="230">
        <v>5431</v>
      </c>
      <c r="M42" s="230" t="s">
        <v>2609</v>
      </c>
      <c r="N42" s="232">
        <v>-109238</v>
      </c>
      <c r="O42" s="230" t="s">
        <v>2543</v>
      </c>
      <c r="P42" s="235" t="s">
        <v>2610</v>
      </c>
    </row>
    <row r="43" spans="1:16" s="230" customFormat="1" ht="14.7" customHeight="1" x14ac:dyDescent="0.3">
      <c r="A43" s="236" t="s">
        <v>271</v>
      </c>
      <c r="B43" s="230" t="s">
        <v>272</v>
      </c>
      <c r="E43" s="230" t="s">
        <v>2540</v>
      </c>
      <c r="F43" s="236">
        <v>4010</v>
      </c>
      <c r="G43" s="230" t="s">
        <v>2521</v>
      </c>
      <c r="H43" s="230" t="s">
        <v>2563</v>
      </c>
      <c r="I43" s="230">
        <v>4100</v>
      </c>
      <c r="J43" s="230" t="s">
        <v>2564</v>
      </c>
      <c r="K43" s="230" t="s">
        <v>2565</v>
      </c>
      <c r="L43" s="230">
        <v>5431</v>
      </c>
      <c r="M43" s="230" t="s">
        <v>2609</v>
      </c>
      <c r="N43" s="233">
        <v>-70700</v>
      </c>
      <c r="O43" s="230" t="s">
        <v>2545</v>
      </c>
      <c r="P43" s="231"/>
    </row>
    <row r="44" spans="1:16" s="230" customFormat="1" ht="14.7" customHeight="1" x14ac:dyDescent="0.3">
      <c r="A44" s="236" t="s">
        <v>302</v>
      </c>
      <c r="B44" s="230" t="s">
        <v>304</v>
      </c>
      <c r="E44" s="230" t="s">
        <v>2605</v>
      </c>
      <c r="F44" s="236">
        <v>4020</v>
      </c>
      <c r="G44" s="230" t="s">
        <v>2522</v>
      </c>
      <c r="H44" s="230" t="s">
        <v>2546</v>
      </c>
      <c r="I44" s="230">
        <v>4210</v>
      </c>
      <c r="J44" s="230" t="s">
        <v>2603</v>
      </c>
      <c r="K44" s="230" t="s">
        <v>2611</v>
      </c>
      <c r="L44" s="230">
        <v>7010</v>
      </c>
      <c r="M44" s="230" t="s">
        <v>2612</v>
      </c>
      <c r="N44" s="233">
        <v>-70600</v>
      </c>
      <c r="O44" s="230" t="s">
        <v>2545</v>
      </c>
      <c r="P44" s="230" t="s">
        <v>2613</v>
      </c>
    </row>
    <row r="45" spans="1:16" s="230" customFormat="1" ht="14.7" customHeight="1" x14ac:dyDescent="0.3">
      <c r="A45" s="230" t="s">
        <v>417</v>
      </c>
      <c r="B45" s="230" t="s">
        <v>418</v>
      </c>
      <c r="E45" s="230" t="s">
        <v>2614</v>
      </c>
      <c r="F45" s="230">
        <v>4131</v>
      </c>
      <c r="G45" s="230" t="s">
        <v>418</v>
      </c>
      <c r="H45" s="230" t="s">
        <v>2577</v>
      </c>
      <c r="I45" s="230">
        <v>1100</v>
      </c>
      <c r="J45" s="230" t="s">
        <v>2542</v>
      </c>
      <c r="K45" s="230" t="s">
        <v>2615</v>
      </c>
      <c r="L45" s="230">
        <v>1000</v>
      </c>
      <c r="M45" s="230" t="s">
        <v>2615</v>
      </c>
      <c r="N45" s="238"/>
      <c r="O45" s="230" t="s">
        <v>2543</v>
      </c>
      <c r="P45" s="230" t="s">
        <v>2616</v>
      </c>
    </row>
    <row r="46" spans="1:16" s="230" customFormat="1" ht="14.7" customHeight="1" x14ac:dyDescent="0.3">
      <c r="A46" s="230" t="s">
        <v>417</v>
      </c>
      <c r="B46" s="230" t="s">
        <v>418</v>
      </c>
      <c r="E46" s="230" t="s">
        <v>2614</v>
      </c>
      <c r="F46" s="230">
        <v>4131</v>
      </c>
      <c r="G46" s="230" t="s">
        <v>418</v>
      </c>
      <c r="H46" s="230" t="s">
        <v>2577</v>
      </c>
      <c r="I46" s="230">
        <v>1100</v>
      </c>
      <c r="J46" s="230" t="s">
        <v>2542</v>
      </c>
      <c r="K46" s="230" t="s">
        <v>2615</v>
      </c>
      <c r="L46" s="230">
        <v>1000</v>
      </c>
      <c r="M46" s="230" t="s">
        <v>2615</v>
      </c>
      <c r="N46" s="233">
        <v>-65500</v>
      </c>
      <c r="O46" s="230" t="s">
        <v>2545</v>
      </c>
      <c r="P46" s="230" t="s">
        <v>2617</v>
      </c>
    </row>
    <row r="47" spans="1:16" s="230" customFormat="1" ht="14.7" customHeight="1" x14ac:dyDescent="0.3">
      <c r="A47" s="236" t="s">
        <v>275</v>
      </c>
      <c r="B47" s="230" t="s">
        <v>276</v>
      </c>
      <c r="E47" s="230" t="s">
        <v>2540</v>
      </c>
      <c r="F47" s="236">
        <v>4010</v>
      </c>
      <c r="G47" s="230" t="s">
        <v>2521</v>
      </c>
      <c r="H47" s="230" t="s">
        <v>2577</v>
      </c>
      <c r="I47" s="230">
        <v>4100</v>
      </c>
      <c r="J47" s="230" t="s">
        <v>2564</v>
      </c>
      <c r="K47" s="230" t="s">
        <v>2618</v>
      </c>
      <c r="L47" s="230">
        <v>6200</v>
      </c>
      <c r="M47" s="230" t="s">
        <v>2618</v>
      </c>
      <c r="N47" s="232">
        <f>+N48</f>
        <v>-65000</v>
      </c>
      <c r="O47" s="230" t="s">
        <v>2543</v>
      </c>
      <c r="P47" s="231"/>
    </row>
    <row r="48" spans="1:16" s="230" customFormat="1" ht="14.7" customHeight="1" x14ac:dyDescent="0.3">
      <c r="A48" s="236" t="s">
        <v>275</v>
      </c>
      <c r="B48" s="230" t="s">
        <v>276</v>
      </c>
      <c r="E48" s="230" t="s">
        <v>2540</v>
      </c>
      <c r="F48" s="236">
        <v>4010</v>
      </c>
      <c r="G48" s="230" t="s">
        <v>2521</v>
      </c>
      <c r="H48" s="230" t="s">
        <v>2577</v>
      </c>
      <c r="I48" s="230">
        <v>4100</v>
      </c>
      <c r="J48" s="230" t="s">
        <v>2564</v>
      </c>
      <c r="K48" s="230" t="s">
        <v>2618</v>
      </c>
      <c r="L48" s="230">
        <v>6200</v>
      </c>
      <c r="M48" s="230" t="s">
        <v>2618</v>
      </c>
      <c r="N48" s="233">
        <v>-65000</v>
      </c>
      <c r="O48" s="230" t="s">
        <v>2545</v>
      </c>
      <c r="P48" s="231"/>
    </row>
    <row r="49" spans="1:16" s="230" customFormat="1" ht="14.7" customHeight="1" x14ac:dyDescent="0.3">
      <c r="A49" s="230" t="s">
        <v>417</v>
      </c>
      <c r="B49" s="230" t="s">
        <v>418</v>
      </c>
      <c r="E49" s="230" t="s">
        <v>2614</v>
      </c>
      <c r="F49" s="230">
        <v>4131</v>
      </c>
      <c r="G49" s="230" t="s">
        <v>418</v>
      </c>
      <c r="H49" s="230" t="s">
        <v>2577</v>
      </c>
      <c r="I49" s="230">
        <v>1100</v>
      </c>
      <c r="J49" s="230" t="s">
        <v>2542</v>
      </c>
      <c r="K49" s="230" t="s">
        <v>2615</v>
      </c>
      <c r="L49" s="230">
        <v>1000</v>
      </c>
      <c r="M49" s="230" t="s">
        <v>2615</v>
      </c>
      <c r="N49" s="232">
        <f>+N50</f>
        <v>-50000</v>
      </c>
      <c r="O49" s="230" t="s">
        <v>2543</v>
      </c>
      <c r="P49" s="230" t="s">
        <v>2548</v>
      </c>
    </row>
    <row r="50" spans="1:16" s="230" customFormat="1" ht="14.7" customHeight="1" x14ac:dyDescent="0.3">
      <c r="A50" s="230" t="s">
        <v>417</v>
      </c>
      <c r="B50" s="230" t="s">
        <v>418</v>
      </c>
      <c r="E50" s="230" t="s">
        <v>2614</v>
      </c>
      <c r="F50" s="230">
        <v>4131</v>
      </c>
      <c r="G50" s="230" t="s">
        <v>418</v>
      </c>
      <c r="H50" s="230" t="s">
        <v>2577</v>
      </c>
      <c r="I50" s="230">
        <v>1100</v>
      </c>
      <c r="J50" s="230" t="s">
        <v>2542</v>
      </c>
      <c r="K50" s="230" t="s">
        <v>2615</v>
      </c>
      <c r="L50" s="230">
        <v>1000</v>
      </c>
      <c r="M50" s="230" t="s">
        <v>2615</v>
      </c>
      <c r="N50" s="233">
        <v>-50000</v>
      </c>
      <c r="O50" s="230" t="s">
        <v>2545</v>
      </c>
      <c r="P50" s="230" t="s">
        <v>2548</v>
      </c>
    </row>
    <row r="51" spans="1:16" s="230" customFormat="1" ht="14.7" customHeight="1" x14ac:dyDescent="0.3">
      <c r="A51" s="230" t="s">
        <v>331</v>
      </c>
      <c r="B51" s="230" t="s">
        <v>332</v>
      </c>
      <c r="E51" s="230" t="s">
        <v>2619</v>
      </c>
      <c r="F51" s="236">
        <v>4110</v>
      </c>
      <c r="G51" s="230" t="s">
        <v>2561</v>
      </c>
      <c r="H51" s="230" t="s">
        <v>2546</v>
      </c>
      <c r="I51" s="230">
        <v>4330</v>
      </c>
      <c r="J51" s="230" t="s">
        <v>2620</v>
      </c>
      <c r="K51" s="230" t="s">
        <v>433</v>
      </c>
      <c r="L51" s="230">
        <v>2000</v>
      </c>
      <c r="M51" s="230" t="s">
        <v>2558</v>
      </c>
      <c r="N51" s="232">
        <f>-3610.66666666667*12</f>
        <v>-43328.000000000044</v>
      </c>
      <c r="O51" s="230" t="s">
        <v>2543</v>
      </c>
      <c r="P51" s="230" t="s">
        <v>2621</v>
      </c>
    </row>
    <row r="52" spans="1:16" s="230" customFormat="1" ht="14.7" customHeight="1" x14ac:dyDescent="0.3">
      <c r="A52" s="230" t="s">
        <v>331</v>
      </c>
      <c r="B52" s="230" t="s">
        <v>332</v>
      </c>
      <c r="E52" s="230" t="s">
        <v>2619</v>
      </c>
      <c r="F52" s="236">
        <v>4110</v>
      </c>
      <c r="G52" s="230" t="s">
        <v>2561</v>
      </c>
      <c r="H52" s="230" t="s">
        <v>2546</v>
      </c>
      <c r="I52" s="230">
        <v>4330</v>
      </c>
      <c r="J52" s="230" t="s">
        <v>2620</v>
      </c>
      <c r="K52" s="230" t="s">
        <v>433</v>
      </c>
      <c r="L52" s="230">
        <v>2000</v>
      </c>
      <c r="M52" s="230" t="s">
        <v>2558</v>
      </c>
      <c r="N52" s="233">
        <v>-46820</v>
      </c>
      <c r="O52" s="230" t="s">
        <v>2545</v>
      </c>
      <c r="P52" s="231"/>
    </row>
    <row r="53" spans="1:16" s="230" customFormat="1" ht="14.7" customHeight="1" x14ac:dyDescent="0.3">
      <c r="A53" s="230" t="s">
        <v>335</v>
      </c>
      <c r="B53" s="230" t="s">
        <v>336</v>
      </c>
      <c r="E53" s="230" t="s">
        <v>2587</v>
      </c>
      <c r="F53" s="236">
        <v>4110</v>
      </c>
      <c r="G53" s="230" t="s">
        <v>2561</v>
      </c>
      <c r="H53" s="230" t="s">
        <v>2563</v>
      </c>
      <c r="I53" s="230">
        <v>6200</v>
      </c>
      <c r="J53" s="230" t="s">
        <v>2622</v>
      </c>
      <c r="K53" s="230" t="s">
        <v>2573</v>
      </c>
      <c r="L53" s="230">
        <v>5200</v>
      </c>
      <c r="M53" s="230" t="s">
        <v>2623</v>
      </c>
      <c r="N53" s="232">
        <f>+N54</f>
        <v>-36000</v>
      </c>
      <c r="O53" s="230" t="s">
        <v>2543</v>
      </c>
      <c r="P53" s="231"/>
    </row>
    <row r="54" spans="1:16" s="230" customFormat="1" ht="14.7" customHeight="1" x14ac:dyDescent="0.3">
      <c r="A54" s="230" t="s">
        <v>335</v>
      </c>
      <c r="B54" s="230" t="s">
        <v>336</v>
      </c>
      <c r="E54" s="230" t="s">
        <v>2587</v>
      </c>
      <c r="F54" s="236">
        <v>4110</v>
      </c>
      <c r="G54" s="230" t="s">
        <v>2561</v>
      </c>
      <c r="H54" s="230" t="s">
        <v>2563</v>
      </c>
      <c r="I54" s="230">
        <v>6200</v>
      </c>
      <c r="J54" s="230" t="s">
        <v>2622</v>
      </c>
      <c r="K54" s="230" t="s">
        <v>2573</v>
      </c>
      <c r="L54" s="230">
        <v>5200</v>
      </c>
      <c r="M54" s="230" t="s">
        <v>2623</v>
      </c>
      <c r="N54" s="233">
        <v>-36000</v>
      </c>
      <c r="O54" s="230" t="s">
        <v>2545</v>
      </c>
      <c r="P54" s="231"/>
    </row>
    <row r="55" spans="1:16" s="230" customFormat="1" ht="14.7" customHeight="1" x14ac:dyDescent="0.3">
      <c r="A55" s="230" t="s">
        <v>399</v>
      </c>
      <c r="B55" s="230" t="s">
        <v>400</v>
      </c>
      <c r="C55" s="230" t="s">
        <v>280</v>
      </c>
      <c r="D55" s="230" t="s">
        <v>2624</v>
      </c>
      <c r="E55" s="230" t="s">
        <v>2625</v>
      </c>
      <c r="F55" s="230">
        <v>4110</v>
      </c>
      <c r="G55" s="230" t="s">
        <v>2561</v>
      </c>
      <c r="H55" s="230" t="s">
        <v>2546</v>
      </c>
      <c r="I55" s="230">
        <v>6501</v>
      </c>
      <c r="J55" s="230" t="s">
        <v>2626</v>
      </c>
      <c r="K55" s="230" t="s">
        <v>125</v>
      </c>
      <c r="L55" s="230">
        <v>4000</v>
      </c>
      <c r="M55" s="230" t="s">
        <v>125</v>
      </c>
      <c r="N55" s="232">
        <f>+N56</f>
        <v>-35000</v>
      </c>
      <c r="O55" s="230" t="s">
        <v>2543</v>
      </c>
      <c r="P55" s="231"/>
    </row>
    <row r="56" spans="1:16" s="230" customFormat="1" ht="14.7" customHeight="1" x14ac:dyDescent="0.3">
      <c r="A56" s="230" t="s">
        <v>399</v>
      </c>
      <c r="B56" s="230" t="s">
        <v>400</v>
      </c>
      <c r="C56" s="230" t="s">
        <v>280</v>
      </c>
      <c r="D56" s="230" t="s">
        <v>2624</v>
      </c>
      <c r="E56" s="230" t="s">
        <v>2625</v>
      </c>
      <c r="F56" s="230">
        <v>4110</v>
      </c>
      <c r="G56" s="230" t="s">
        <v>2561</v>
      </c>
      <c r="H56" s="230" t="s">
        <v>2546</v>
      </c>
      <c r="I56" s="230">
        <v>6501</v>
      </c>
      <c r="J56" s="230" t="s">
        <v>2626</v>
      </c>
      <c r="K56" s="230" t="s">
        <v>125</v>
      </c>
      <c r="L56" s="230">
        <v>4000</v>
      </c>
      <c r="M56" s="230" t="s">
        <v>125</v>
      </c>
      <c r="N56" s="233">
        <v>-35000</v>
      </c>
      <c r="O56" s="230" t="s">
        <v>2545</v>
      </c>
      <c r="P56" s="231"/>
    </row>
    <row r="57" spans="1:16" s="230" customFormat="1" ht="14.7" customHeight="1" x14ac:dyDescent="0.3">
      <c r="A57" s="236" t="s">
        <v>329</v>
      </c>
      <c r="B57" s="230" t="s">
        <v>330</v>
      </c>
      <c r="E57" s="230" t="s">
        <v>2625</v>
      </c>
      <c r="F57" s="236">
        <v>4110</v>
      </c>
      <c r="G57" s="230" t="s">
        <v>2561</v>
      </c>
      <c r="H57" s="230" t="s">
        <v>2546</v>
      </c>
      <c r="I57" s="230">
        <v>4221</v>
      </c>
      <c r="J57" s="230" t="s">
        <v>2579</v>
      </c>
      <c r="K57" s="230" t="s">
        <v>2580</v>
      </c>
      <c r="L57" s="230">
        <v>5500</v>
      </c>
      <c r="M57" s="230" t="s">
        <v>2581</v>
      </c>
      <c r="N57" s="232">
        <v>-33360</v>
      </c>
      <c r="O57" s="230" t="s">
        <v>2627</v>
      </c>
      <c r="P57" s="231"/>
    </row>
    <row r="58" spans="1:16" s="230" customFormat="1" ht="14.7" customHeight="1" x14ac:dyDescent="0.3">
      <c r="A58" s="236" t="s">
        <v>329</v>
      </c>
      <c r="B58" s="230" t="s">
        <v>330</v>
      </c>
      <c r="E58" s="230" t="s">
        <v>2625</v>
      </c>
      <c r="F58" s="236">
        <v>4110</v>
      </c>
      <c r="G58" s="230" t="s">
        <v>2561</v>
      </c>
      <c r="H58" s="230" t="s">
        <v>2546</v>
      </c>
      <c r="I58" s="230">
        <v>4221</v>
      </c>
      <c r="J58" s="230" t="s">
        <v>2579</v>
      </c>
      <c r="K58" s="230" t="s">
        <v>2580</v>
      </c>
      <c r="L58" s="230">
        <v>5500</v>
      </c>
      <c r="M58" s="230" t="s">
        <v>2581</v>
      </c>
      <c r="N58" s="233">
        <v>-33360</v>
      </c>
      <c r="O58" s="230" t="s">
        <v>2545</v>
      </c>
      <c r="P58" s="235" t="s">
        <v>2567</v>
      </c>
    </row>
    <row r="59" spans="1:16" s="230" customFormat="1" ht="14.7" customHeight="1" x14ac:dyDescent="0.3">
      <c r="A59" s="236" t="s">
        <v>299</v>
      </c>
      <c r="B59" s="230" t="s">
        <v>2628</v>
      </c>
      <c r="E59" s="230" t="s">
        <v>2605</v>
      </c>
      <c r="F59" s="236">
        <v>4020</v>
      </c>
      <c r="G59" s="230" t="s">
        <v>2522</v>
      </c>
      <c r="H59" s="230" t="s">
        <v>2582</v>
      </c>
      <c r="I59" s="230">
        <v>3300</v>
      </c>
      <c r="J59" s="230" t="s">
        <v>2629</v>
      </c>
      <c r="K59" s="230" t="s">
        <v>2630</v>
      </c>
      <c r="L59" s="230">
        <v>7030</v>
      </c>
      <c r="M59" s="230" t="s">
        <v>2630</v>
      </c>
      <c r="N59" s="232">
        <f>+N60</f>
        <v>-30000</v>
      </c>
      <c r="O59" s="230" t="s">
        <v>2543</v>
      </c>
      <c r="P59" s="231"/>
    </row>
    <row r="60" spans="1:16" s="230" customFormat="1" ht="14.7" customHeight="1" x14ac:dyDescent="0.3">
      <c r="A60" s="236" t="s">
        <v>299</v>
      </c>
      <c r="B60" s="230" t="s">
        <v>2628</v>
      </c>
      <c r="E60" s="230" t="s">
        <v>2605</v>
      </c>
      <c r="F60" s="236">
        <v>4020</v>
      </c>
      <c r="G60" s="230" t="s">
        <v>2522</v>
      </c>
      <c r="H60" s="230" t="s">
        <v>2582</v>
      </c>
      <c r="I60" s="230">
        <v>3300</v>
      </c>
      <c r="J60" s="230" t="s">
        <v>2629</v>
      </c>
      <c r="K60" s="230" t="s">
        <v>2630</v>
      </c>
      <c r="L60" s="230">
        <v>7030</v>
      </c>
      <c r="M60" s="230" t="s">
        <v>2630</v>
      </c>
      <c r="N60" s="233">
        <v>-30000</v>
      </c>
      <c r="O60" s="230" t="s">
        <v>2545</v>
      </c>
      <c r="P60" s="231"/>
    </row>
    <row r="61" spans="1:16" s="230" customFormat="1" ht="14.7" customHeight="1" x14ac:dyDescent="0.3">
      <c r="A61" s="230" t="s">
        <v>339</v>
      </c>
      <c r="B61" s="230" t="s">
        <v>340</v>
      </c>
      <c r="E61" s="230" t="s">
        <v>2587</v>
      </c>
      <c r="F61" s="231">
        <v>4110</v>
      </c>
      <c r="G61" s="230" t="s">
        <v>2561</v>
      </c>
      <c r="H61" s="230" t="s">
        <v>2563</v>
      </c>
      <c r="I61" s="230">
        <v>6302</v>
      </c>
      <c r="J61" s="230" t="s">
        <v>2631</v>
      </c>
      <c r="K61" s="230" t="s">
        <v>2573</v>
      </c>
      <c r="L61" s="230">
        <v>5100</v>
      </c>
      <c r="M61" s="230" t="s">
        <v>2632</v>
      </c>
      <c r="N61" s="232">
        <f>+N62</f>
        <v>-25000</v>
      </c>
      <c r="O61" s="230" t="s">
        <v>2543</v>
      </c>
      <c r="P61" s="230" t="s">
        <v>2633</v>
      </c>
    </row>
    <row r="62" spans="1:16" s="230" customFormat="1" ht="14.7" customHeight="1" x14ac:dyDescent="0.3">
      <c r="A62" s="230" t="s">
        <v>339</v>
      </c>
      <c r="B62" s="230" t="s">
        <v>340</v>
      </c>
      <c r="E62" s="230" t="s">
        <v>2587</v>
      </c>
      <c r="F62" s="231">
        <v>4110</v>
      </c>
      <c r="G62" s="230" t="s">
        <v>2561</v>
      </c>
      <c r="H62" s="230" t="s">
        <v>2563</v>
      </c>
      <c r="I62" s="230">
        <v>6302</v>
      </c>
      <c r="J62" s="230" t="s">
        <v>2631</v>
      </c>
      <c r="K62" s="230" t="s">
        <v>2573</v>
      </c>
      <c r="L62" s="230">
        <v>5100</v>
      </c>
      <c r="M62" s="230" t="s">
        <v>2632</v>
      </c>
      <c r="N62" s="233">
        <v>-25000</v>
      </c>
      <c r="O62" s="230" t="s">
        <v>2545</v>
      </c>
      <c r="P62" s="230" t="s">
        <v>2633</v>
      </c>
    </row>
    <row r="63" spans="1:16" s="230" customFormat="1" ht="14.7" customHeight="1" x14ac:dyDescent="0.3">
      <c r="A63" s="230" t="s">
        <v>337</v>
      </c>
      <c r="B63" s="230" t="s">
        <v>338</v>
      </c>
      <c r="E63" s="230" t="s">
        <v>2587</v>
      </c>
      <c r="F63" s="236">
        <v>4110</v>
      </c>
      <c r="G63" s="230" t="s">
        <v>2561</v>
      </c>
      <c r="H63" s="230" t="s">
        <v>2563</v>
      </c>
      <c r="I63" s="230">
        <v>6301</v>
      </c>
      <c r="J63" s="230" t="s">
        <v>2634</v>
      </c>
      <c r="K63" s="230" t="s">
        <v>2573</v>
      </c>
      <c r="L63" s="230">
        <v>5100</v>
      </c>
      <c r="M63" s="230" t="s">
        <v>2632</v>
      </c>
      <c r="N63" s="232">
        <f>+N64</f>
        <v>-25000</v>
      </c>
      <c r="O63" s="230" t="s">
        <v>2543</v>
      </c>
      <c r="P63" s="231"/>
    </row>
    <row r="64" spans="1:16" s="230" customFormat="1" ht="14.7" customHeight="1" x14ac:dyDescent="0.3">
      <c r="A64" s="230" t="s">
        <v>337</v>
      </c>
      <c r="B64" s="230" t="s">
        <v>338</v>
      </c>
      <c r="E64" s="230" t="s">
        <v>2587</v>
      </c>
      <c r="F64" s="236">
        <v>4110</v>
      </c>
      <c r="G64" s="230" t="s">
        <v>2561</v>
      </c>
      <c r="H64" s="230" t="s">
        <v>2563</v>
      </c>
      <c r="I64" s="230">
        <v>6301</v>
      </c>
      <c r="J64" s="230" t="s">
        <v>2634</v>
      </c>
      <c r="K64" s="230" t="s">
        <v>2573</v>
      </c>
      <c r="L64" s="230">
        <v>5100</v>
      </c>
      <c r="M64" s="230" t="s">
        <v>2632</v>
      </c>
      <c r="N64" s="233">
        <v>-25000</v>
      </c>
      <c r="O64" s="230" t="s">
        <v>2545</v>
      </c>
      <c r="P64" s="231"/>
    </row>
    <row r="65" spans="1:16" s="230" customFormat="1" ht="14.7" customHeight="1" x14ac:dyDescent="0.3">
      <c r="A65" s="236" t="s">
        <v>295</v>
      </c>
      <c r="B65" s="230" t="s">
        <v>296</v>
      </c>
      <c r="E65" s="230" t="s">
        <v>2540</v>
      </c>
      <c r="F65" s="236">
        <v>4010</v>
      </c>
      <c r="G65" s="230" t="s">
        <v>2521</v>
      </c>
      <c r="H65" s="230" t="s">
        <v>2577</v>
      </c>
      <c r="I65" s="230">
        <v>6400</v>
      </c>
      <c r="J65" s="230" t="s">
        <v>2572</v>
      </c>
      <c r="K65" s="230" t="s">
        <v>2635</v>
      </c>
      <c r="L65" s="230">
        <v>3000</v>
      </c>
      <c r="M65" s="230" t="s">
        <v>2635</v>
      </c>
      <c r="N65" s="232">
        <v>-23538</v>
      </c>
      <c r="O65" s="230" t="s">
        <v>2543</v>
      </c>
      <c r="P65" s="235" t="s">
        <v>2575</v>
      </c>
    </row>
    <row r="66" spans="1:16" s="230" customFormat="1" ht="14.7" customHeight="1" x14ac:dyDescent="0.3">
      <c r="A66" s="236" t="s">
        <v>295</v>
      </c>
      <c r="B66" s="230" t="s">
        <v>296</v>
      </c>
      <c r="E66" s="230" t="s">
        <v>2540</v>
      </c>
      <c r="F66" s="236">
        <v>4010</v>
      </c>
      <c r="G66" s="230" t="s">
        <v>2521</v>
      </c>
      <c r="H66" s="230" t="s">
        <v>2577</v>
      </c>
      <c r="I66" s="230">
        <v>6400</v>
      </c>
      <c r="J66" s="230" t="s">
        <v>2572</v>
      </c>
      <c r="K66" s="230" t="s">
        <v>2635</v>
      </c>
      <c r="L66" s="230">
        <v>3000</v>
      </c>
      <c r="M66" s="230" t="s">
        <v>2635</v>
      </c>
      <c r="N66" s="233">
        <v>-23538</v>
      </c>
      <c r="O66" s="230" t="s">
        <v>2545</v>
      </c>
      <c r="P66" s="231"/>
    </row>
    <row r="67" spans="1:16" s="230" customFormat="1" ht="14.7" customHeight="1" x14ac:dyDescent="0.3">
      <c r="A67" s="230" t="s">
        <v>250</v>
      </c>
      <c r="B67" s="230" t="s">
        <v>2636</v>
      </c>
      <c r="E67" s="230" t="s">
        <v>2540</v>
      </c>
      <c r="F67" s="230">
        <v>4010</v>
      </c>
      <c r="G67" s="230" t="s">
        <v>2521</v>
      </c>
      <c r="H67" s="230" t="s">
        <v>2582</v>
      </c>
      <c r="I67" s="230">
        <v>3110</v>
      </c>
      <c r="J67" s="230" t="s">
        <v>2557</v>
      </c>
      <c r="K67" s="230" t="s">
        <v>2584</v>
      </c>
      <c r="L67" s="230">
        <v>6100</v>
      </c>
      <c r="M67" s="230" t="s">
        <v>2584</v>
      </c>
      <c r="N67" s="232">
        <v>-23180</v>
      </c>
      <c r="O67" s="230" t="s">
        <v>2543</v>
      </c>
      <c r="P67"/>
    </row>
    <row r="68" spans="1:16" s="230" customFormat="1" ht="14.7" customHeight="1" x14ac:dyDescent="0.3">
      <c r="A68" s="230" t="s">
        <v>250</v>
      </c>
      <c r="B68" s="230" t="s">
        <v>2636</v>
      </c>
      <c r="E68" s="230" t="s">
        <v>2540</v>
      </c>
      <c r="F68" s="230">
        <v>4010</v>
      </c>
      <c r="G68" s="230" t="s">
        <v>2521</v>
      </c>
      <c r="H68" s="230" t="s">
        <v>2582</v>
      </c>
      <c r="I68" s="230">
        <v>3110</v>
      </c>
      <c r="J68" s="230" t="s">
        <v>2557</v>
      </c>
      <c r="K68" s="230" t="s">
        <v>2584</v>
      </c>
      <c r="L68" s="230">
        <v>6100</v>
      </c>
      <c r="M68" s="230" t="s">
        <v>2584</v>
      </c>
      <c r="N68" s="233">
        <v>-23180</v>
      </c>
      <c r="O68" s="230" t="s">
        <v>2545</v>
      </c>
      <c r="P68" t="s">
        <v>2637</v>
      </c>
    </row>
    <row r="69" spans="1:16" s="230" customFormat="1" ht="14.7" customHeight="1" x14ac:dyDescent="0.3">
      <c r="N69" s="233"/>
      <c r="P69"/>
    </row>
    <row r="70" spans="1:16" s="230" customFormat="1" ht="14.7" customHeight="1" x14ac:dyDescent="0.3">
      <c r="N70" s="233"/>
      <c r="P70"/>
    </row>
    <row r="71" spans="1:16" s="230" customFormat="1" ht="14.7" customHeight="1" x14ac:dyDescent="0.3">
      <c r="N71" s="233"/>
      <c r="P71"/>
    </row>
    <row r="72" spans="1:16" s="230" customFormat="1" ht="14.7" customHeight="1" x14ac:dyDescent="0.3">
      <c r="N72" s="233"/>
      <c r="P72"/>
    </row>
    <row r="73" spans="1:16" s="230" customFormat="1" ht="14.7" customHeight="1" x14ac:dyDescent="0.3">
      <c r="N73" s="233"/>
      <c r="P73"/>
    </row>
    <row r="74" spans="1:16" s="230" customFormat="1" ht="14.7" customHeight="1" x14ac:dyDescent="0.3">
      <c r="N74" s="233"/>
      <c r="P74"/>
    </row>
    <row r="75" spans="1:16" s="230" customFormat="1" ht="14.7" customHeight="1" x14ac:dyDescent="0.3">
      <c r="N75" s="233"/>
      <c r="P75"/>
    </row>
    <row r="76" spans="1:16" s="230" customFormat="1" ht="14.7" customHeight="1" x14ac:dyDescent="0.3">
      <c r="A76" s="230" t="s">
        <v>417</v>
      </c>
      <c r="B76" s="230" t="s">
        <v>418</v>
      </c>
      <c r="E76" s="230" t="s">
        <v>2614</v>
      </c>
      <c r="F76" s="230">
        <v>4131</v>
      </c>
      <c r="G76" s="230" t="s">
        <v>418</v>
      </c>
      <c r="H76" s="230" t="s">
        <v>2577</v>
      </c>
      <c r="I76" s="230">
        <v>1100</v>
      </c>
      <c r="J76" s="230" t="s">
        <v>2542</v>
      </c>
      <c r="K76" s="230" t="s">
        <v>2615</v>
      </c>
      <c r="L76" s="230">
        <v>1000</v>
      </c>
      <c r="M76" s="230" t="s">
        <v>2615</v>
      </c>
      <c r="N76" s="232">
        <v>-8000</v>
      </c>
      <c r="O76" s="230" t="s">
        <v>2543</v>
      </c>
      <c r="P76" s="230" t="s">
        <v>2607</v>
      </c>
    </row>
    <row r="77" spans="1:16" s="230" customFormat="1" ht="14.7" customHeight="1" x14ac:dyDescent="0.3">
      <c r="A77" s="230" t="s">
        <v>417</v>
      </c>
      <c r="B77" s="230" t="s">
        <v>418</v>
      </c>
      <c r="E77" s="230" t="s">
        <v>2614</v>
      </c>
      <c r="F77" s="230">
        <v>4131</v>
      </c>
      <c r="G77" s="230" t="s">
        <v>418</v>
      </c>
      <c r="H77" s="230" t="s">
        <v>2577</v>
      </c>
      <c r="I77" s="230">
        <v>1100</v>
      </c>
      <c r="J77" s="230" t="s">
        <v>2542</v>
      </c>
      <c r="K77" s="230" t="s">
        <v>2615</v>
      </c>
      <c r="L77" s="230">
        <v>1000</v>
      </c>
      <c r="M77" s="230" t="s">
        <v>2615</v>
      </c>
      <c r="N77" s="233">
        <v>-8000</v>
      </c>
      <c r="O77" s="230" t="s">
        <v>2545</v>
      </c>
      <c r="P77" s="230" t="s">
        <v>2638</v>
      </c>
    </row>
    <row r="78" spans="1:16" s="230" customFormat="1" ht="14.7" customHeight="1" x14ac:dyDescent="0.3">
      <c r="A78" s="236" t="s">
        <v>259</v>
      </c>
      <c r="B78" s="230" t="s">
        <v>261</v>
      </c>
      <c r="E78" s="230" t="s">
        <v>2540</v>
      </c>
      <c r="F78" s="236">
        <v>4010</v>
      </c>
      <c r="G78" s="230" t="s">
        <v>2521</v>
      </c>
      <c r="H78" s="230" t="s">
        <v>2582</v>
      </c>
      <c r="I78" s="230">
        <v>3300</v>
      </c>
      <c r="J78" s="230" t="s">
        <v>2629</v>
      </c>
      <c r="K78" s="230" t="s">
        <v>2630</v>
      </c>
      <c r="L78" s="230">
        <v>7030</v>
      </c>
      <c r="M78" s="230" t="s">
        <v>2630</v>
      </c>
      <c r="N78" s="232">
        <v>-7200</v>
      </c>
      <c r="O78" s="230" t="s">
        <v>2543</v>
      </c>
      <c r="P78" s="231"/>
    </row>
    <row r="79" spans="1:16" s="230" customFormat="1" ht="14.7" customHeight="1" x14ac:dyDescent="0.3">
      <c r="A79" s="236" t="s">
        <v>259</v>
      </c>
      <c r="B79" s="230" t="s">
        <v>261</v>
      </c>
      <c r="E79" s="230" t="s">
        <v>2540</v>
      </c>
      <c r="F79" s="236">
        <v>4010</v>
      </c>
      <c r="G79" s="230" t="s">
        <v>2521</v>
      </c>
      <c r="H79" s="230" t="s">
        <v>2582</v>
      </c>
      <c r="I79" s="230">
        <v>3300</v>
      </c>
      <c r="J79" s="230" t="s">
        <v>2629</v>
      </c>
      <c r="K79" s="230" t="s">
        <v>2630</v>
      </c>
      <c r="L79" s="230">
        <v>7030</v>
      </c>
      <c r="M79" s="230" t="s">
        <v>2630</v>
      </c>
      <c r="N79" s="233">
        <v>-7200</v>
      </c>
      <c r="O79" s="230" t="s">
        <v>2545</v>
      </c>
      <c r="P79" s="231"/>
    </row>
    <row r="80" spans="1:16" s="230" customFormat="1" ht="14.7" customHeight="1" x14ac:dyDescent="0.3">
      <c r="A80" s="230" t="s">
        <v>417</v>
      </c>
      <c r="B80" s="230" t="s">
        <v>418</v>
      </c>
      <c r="E80" s="230" t="s">
        <v>2614</v>
      </c>
      <c r="F80" s="230">
        <v>4131</v>
      </c>
      <c r="G80" s="230" t="s">
        <v>418</v>
      </c>
      <c r="H80" s="230" t="s">
        <v>2577</v>
      </c>
      <c r="I80" s="230">
        <v>1100</v>
      </c>
      <c r="J80" s="230" t="s">
        <v>2542</v>
      </c>
      <c r="K80" s="230" t="s">
        <v>2615</v>
      </c>
      <c r="L80" s="230">
        <v>1000</v>
      </c>
      <c r="M80" s="230" t="s">
        <v>2615</v>
      </c>
      <c r="N80" s="233">
        <v>-7100</v>
      </c>
      <c r="O80" s="230" t="s">
        <v>2545</v>
      </c>
      <c r="P80" s="230" t="s">
        <v>2611</v>
      </c>
    </row>
    <row r="81" spans="1:17" s="230" customFormat="1" ht="14.7" customHeight="1" x14ac:dyDescent="0.3">
      <c r="A81" s="230" t="s">
        <v>1025</v>
      </c>
      <c r="B81" s="230" t="s">
        <v>2639</v>
      </c>
      <c r="C81" s="230" t="s">
        <v>280</v>
      </c>
      <c r="D81" s="230" t="s">
        <v>2624</v>
      </c>
      <c r="E81" s="230" t="s">
        <v>2640</v>
      </c>
      <c r="F81" s="230">
        <v>5014</v>
      </c>
      <c r="G81" s="230" t="s">
        <v>2641</v>
      </c>
      <c r="H81" s="230" t="s">
        <v>2577</v>
      </c>
      <c r="I81" s="230">
        <v>6301</v>
      </c>
      <c r="J81" s="230" t="s">
        <v>2634</v>
      </c>
      <c r="K81" s="230" t="s">
        <v>125</v>
      </c>
      <c r="L81" s="230">
        <v>4000</v>
      </c>
      <c r="M81" s="230" t="s">
        <v>125</v>
      </c>
      <c r="N81" s="232">
        <v>-7000</v>
      </c>
      <c r="O81" s="230" t="s">
        <v>2543</v>
      </c>
      <c r="P81" s="231"/>
    </row>
    <row r="82" spans="1:17" s="230" customFormat="1" ht="14.7" customHeight="1" x14ac:dyDescent="0.3">
      <c r="A82" s="230" t="s">
        <v>1025</v>
      </c>
      <c r="B82" s="230" t="s">
        <v>2639</v>
      </c>
      <c r="C82" s="230" t="s">
        <v>280</v>
      </c>
      <c r="D82" s="230" t="s">
        <v>2624</v>
      </c>
      <c r="E82" s="230" t="s">
        <v>2640</v>
      </c>
      <c r="F82" s="230">
        <v>5014</v>
      </c>
      <c r="G82" s="230" t="s">
        <v>2641</v>
      </c>
      <c r="H82" s="230" t="s">
        <v>2577</v>
      </c>
      <c r="I82" s="230">
        <v>6301</v>
      </c>
      <c r="J82" s="230" t="s">
        <v>2634</v>
      </c>
      <c r="K82" s="230" t="s">
        <v>125</v>
      </c>
      <c r="L82" s="230">
        <v>4000</v>
      </c>
      <c r="M82" s="230" t="s">
        <v>125</v>
      </c>
      <c r="N82" s="233">
        <v>-7000</v>
      </c>
      <c r="O82" s="230" t="s">
        <v>2545</v>
      </c>
      <c r="P82" s="231"/>
    </row>
    <row r="83" spans="1:17" s="230" customFormat="1" ht="14.7" customHeight="1" x14ac:dyDescent="0.3">
      <c r="A83" s="230" t="s">
        <v>292</v>
      </c>
      <c r="B83" s="230" t="str">
        <f>+'20 21 Revenue - Middlesex'!M4</f>
        <v>MOH CHO</v>
      </c>
      <c r="E83" s="230" t="s">
        <v>2540</v>
      </c>
      <c r="F83" s="236">
        <v>4010</v>
      </c>
      <c r="G83" s="230" t="s">
        <v>2521</v>
      </c>
      <c r="H83" s="230" t="s">
        <v>2563</v>
      </c>
      <c r="I83" s="230">
        <v>6302</v>
      </c>
      <c r="J83" s="230" t="s">
        <v>2631</v>
      </c>
      <c r="K83" s="230" t="s">
        <v>2573</v>
      </c>
      <c r="L83" s="230">
        <v>5100</v>
      </c>
      <c r="M83" s="230" t="s">
        <v>2632</v>
      </c>
      <c r="N83" s="232">
        <v>-1953</v>
      </c>
      <c r="O83" s="230" t="s">
        <v>2543</v>
      </c>
      <c r="P83" s="231"/>
    </row>
    <row r="84" spans="1:17" s="230" customFormat="1" ht="14.7" customHeight="1" x14ac:dyDescent="0.3">
      <c r="A84" s="230" t="s">
        <v>292</v>
      </c>
      <c r="B84" s="230" t="s">
        <v>2642</v>
      </c>
      <c r="E84" s="230" t="s">
        <v>2540</v>
      </c>
      <c r="F84" s="236">
        <v>4010</v>
      </c>
      <c r="G84" s="230" t="s">
        <v>2521</v>
      </c>
      <c r="H84" s="230" t="s">
        <v>2563</v>
      </c>
      <c r="I84" s="230">
        <v>6302</v>
      </c>
      <c r="J84" s="230" t="s">
        <v>2631</v>
      </c>
      <c r="K84" s="230" t="s">
        <v>2573</v>
      </c>
      <c r="L84" s="230">
        <v>5100</v>
      </c>
      <c r="M84" s="230" t="s">
        <v>2632</v>
      </c>
      <c r="N84" s="233">
        <v>-1953</v>
      </c>
      <c r="O84" s="230" t="s">
        <v>2545</v>
      </c>
      <c r="P84" s="231"/>
    </row>
    <row r="85" spans="1:17" s="230" customFormat="1" ht="14.7" customHeight="1" x14ac:dyDescent="0.3">
      <c r="A85" s="230" t="s">
        <v>441</v>
      </c>
      <c r="B85" s="230" t="s">
        <v>442</v>
      </c>
      <c r="E85" s="230" t="s">
        <v>2555</v>
      </c>
      <c r="F85" s="231">
        <v>4200</v>
      </c>
      <c r="G85" s="230" t="s">
        <v>433</v>
      </c>
      <c r="H85" s="230" t="s">
        <v>2556</v>
      </c>
      <c r="I85" s="230">
        <v>4330</v>
      </c>
      <c r="J85" s="230" t="s">
        <v>2620</v>
      </c>
      <c r="K85" s="230" t="s">
        <v>433</v>
      </c>
      <c r="L85" s="230">
        <v>2000</v>
      </c>
      <c r="M85" s="230" t="s">
        <v>2558</v>
      </c>
      <c r="N85" s="232">
        <v>-1000</v>
      </c>
      <c r="O85" s="230" t="s">
        <v>2543</v>
      </c>
      <c r="P85" s="231"/>
    </row>
    <row r="86" spans="1:17" s="230" customFormat="1" ht="14.7" customHeight="1" x14ac:dyDescent="0.3">
      <c r="A86" s="230" t="s">
        <v>441</v>
      </c>
      <c r="B86" s="230" t="s">
        <v>442</v>
      </c>
      <c r="E86" s="230" t="s">
        <v>2555</v>
      </c>
      <c r="F86" s="231">
        <v>4200</v>
      </c>
      <c r="G86" s="230" t="s">
        <v>433</v>
      </c>
      <c r="H86" s="230" t="s">
        <v>2556</v>
      </c>
      <c r="I86" s="230">
        <v>4330</v>
      </c>
      <c r="J86" s="230" t="s">
        <v>2620</v>
      </c>
      <c r="K86" s="230" t="s">
        <v>433</v>
      </c>
      <c r="L86" s="230">
        <v>2000</v>
      </c>
      <c r="M86" s="230" t="s">
        <v>2558</v>
      </c>
      <c r="N86" s="233">
        <v>-1000</v>
      </c>
      <c r="O86" s="230" t="s">
        <v>2545</v>
      </c>
      <c r="P86" s="231"/>
    </row>
    <row r="87" spans="1:17" s="230" customFormat="1" ht="14.7" customHeight="1" x14ac:dyDescent="0.3">
      <c r="F87" s="231"/>
      <c r="N87" s="233"/>
      <c r="P87" s="231"/>
    </row>
    <row r="88" spans="1:17" s="230" customFormat="1" ht="14.7" customHeight="1" x14ac:dyDescent="0.3">
      <c r="F88" s="231"/>
      <c r="N88" s="233"/>
      <c r="P88" s="231"/>
    </row>
    <row r="89" spans="1:17" s="230" customFormat="1" ht="14.7" customHeight="1" x14ac:dyDescent="0.3">
      <c r="F89" s="231"/>
      <c r="N89" s="233"/>
      <c r="P89" s="231"/>
    </row>
    <row r="90" spans="1:17" s="230" customFormat="1" ht="14.7" customHeight="1" x14ac:dyDescent="0.3">
      <c r="F90" s="231"/>
      <c r="N90" s="233"/>
      <c r="P90" s="231"/>
    </row>
    <row r="91" spans="1:17" s="230" customFormat="1" ht="14.7" customHeight="1" x14ac:dyDescent="0.3">
      <c r="F91" s="231"/>
      <c r="N91" s="233"/>
      <c r="P91" s="231"/>
    </row>
    <row r="92" spans="1:17" s="230" customFormat="1" ht="14.7" customHeight="1" x14ac:dyDescent="0.3">
      <c r="F92" s="231"/>
      <c r="N92" s="233"/>
      <c r="P92" s="231"/>
    </row>
    <row r="93" spans="1:17" s="230" customFormat="1" ht="14.7" customHeight="1" x14ac:dyDescent="0.3">
      <c r="F93" s="231"/>
      <c r="N93" s="233"/>
      <c r="P93" s="231"/>
    </row>
    <row r="94" spans="1:17" s="230" customFormat="1" ht="14.7" customHeight="1" x14ac:dyDescent="0.3">
      <c r="F94" s="231"/>
      <c r="N94" s="233"/>
      <c r="P94" s="231"/>
    </row>
    <row r="95" spans="1:17" s="230" customFormat="1" ht="14.7" customHeight="1" x14ac:dyDescent="0.3">
      <c r="A95" s="230" t="s">
        <v>1029</v>
      </c>
      <c r="B95" s="230" t="s">
        <v>2643</v>
      </c>
      <c r="C95" s="230" t="s">
        <v>280</v>
      </c>
      <c r="D95" s="230" t="s">
        <v>2624</v>
      </c>
      <c r="E95" s="230" t="s">
        <v>2640</v>
      </c>
      <c r="F95" s="230">
        <v>5014</v>
      </c>
      <c r="G95" s="230" t="s">
        <v>2641</v>
      </c>
      <c r="H95" s="230" t="s">
        <v>2577</v>
      </c>
      <c r="I95" s="230">
        <v>6407</v>
      </c>
      <c r="J95" s="230" t="s">
        <v>2644</v>
      </c>
      <c r="K95" s="230" t="s">
        <v>125</v>
      </c>
      <c r="L95" s="230">
        <v>4000</v>
      </c>
      <c r="M95" s="230" t="s">
        <v>125</v>
      </c>
      <c r="N95" s="232">
        <v>-1000</v>
      </c>
      <c r="O95" s="230" t="s">
        <v>2543</v>
      </c>
      <c r="P95" s="231"/>
      <c r="Q95" s="230">
        <v>17450671</v>
      </c>
    </row>
    <row r="96" spans="1:17" s="230" customFormat="1" ht="14.7" customHeight="1" x14ac:dyDescent="0.3">
      <c r="P96" s="231"/>
    </row>
    <row r="97" spans="14:16" s="230" customFormat="1" ht="14.7" customHeight="1" x14ac:dyDescent="0.3">
      <c r="P97" s="231"/>
    </row>
    <row r="98" spans="14:16" s="230" customFormat="1" ht="14.7" customHeight="1" x14ac:dyDescent="0.3">
      <c r="N98" s="239">
        <f>SUBTOTAL(9,N3:N86)</f>
        <v>-35111942</v>
      </c>
      <c r="P98" s="231"/>
    </row>
    <row r="99" spans="14:16" s="230" customFormat="1" ht="14.7" customHeight="1" x14ac:dyDescent="0.3">
      <c r="P99" s="231"/>
    </row>
    <row r="100" spans="14:16" s="230" customFormat="1" ht="14.7" customHeight="1" x14ac:dyDescent="0.3">
      <c r="P100" s="231"/>
    </row>
    <row r="101" spans="14:16" s="230" customFormat="1" ht="14.7" customHeight="1" x14ac:dyDescent="0.3">
      <c r="P101" s="231"/>
    </row>
    <row r="102" spans="14:16" s="230" customFormat="1" ht="14.7" customHeight="1" x14ac:dyDescent="0.3">
      <c r="P102" s="231"/>
    </row>
    <row r="103" spans="14:16" s="230" customFormat="1" ht="14.7" customHeight="1" x14ac:dyDescent="0.3">
      <c r="P103" s="231"/>
    </row>
    <row r="104" spans="14:16" s="230" customFormat="1" ht="14.7" customHeight="1" x14ac:dyDescent="0.3">
      <c r="P104" s="231"/>
    </row>
    <row r="105" spans="14:16" s="230" customFormat="1" ht="14.7" customHeight="1" x14ac:dyDescent="0.3">
      <c r="P105" s="231"/>
    </row>
    <row r="106" spans="14:16" s="230" customFormat="1" ht="14.7" customHeight="1" x14ac:dyDescent="0.3">
      <c r="P106" s="231"/>
    </row>
    <row r="107" spans="14:16" s="230" customFormat="1" ht="14.7" customHeight="1" x14ac:dyDescent="0.3"/>
    <row r="108" spans="14:16" s="230" customFormat="1" ht="14.7" customHeight="1" x14ac:dyDescent="0.3"/>
    <row r="109" spans="14:16" s="230" customFormat="1" ht="14.7" customHeight="1" x14ac:dyDescent="0.3">
      <c r="P109" s="231"/>
    </row>
    <row r="110" spans="14:16" s="230" customFormat="1" ht="14.7" customHeight="1" x14ac:dyDescent="0.3">
      <c r="P110" s="231"/>
    </row>
    <row r="111" spans="14:16" s="230" customFormat="1" ht="14.7" customHeight="1" x14ac:dyDescent="0.3">
      <c r="P111" s="231"/>
    </row>
    <row r="112" spans="14:16" s="230" customFormat="1" ht="14.7" customHeight="1" x14ac:dyDescent="0.3">
      <c r="P112" s="231"/>
    </row>
    <row r="113" spans="1:17" s="230" customFormat="1" ht="14.7" customHeight="1" x14ac:dyDescent="0.3"/>
    <row r="114" spans="1:17" s="230" customFormat="1" ht="14.7" customHeight="1" x14ac:dyDescent="0.3"/>
    <row r="115" spans="1:17" s="230" customFormat="1" ht="14.7" customHeight="1" x14ac:dyDescent="0.3"/>
    <row r="116" spans="1:17" s="230" customFormat="1" ht="14.7" customHeight="1" x14ac:dyDescent="0.3"/>
    <row r="117" spans="1:17" s="230" customFormat="1" ht="14.7" customHeight="1" x14ac:dyDescent="0.3"/>
    <row r="118" spans="1:17" s="230" customFormat="1" ht="14.7" customHeight="1" x14ac:dyDescent="0.3"/>
    <row r="119" spans="1:17" s="230" customFormat="1" ht="14.7" customHeight="1" x14ac:dyDescent="0.3"/>
    <row r="120" spans="1:17" s="230" customFormat="1" ht="14.7" customHeight="1" x14ac:dyDescent="0.3"/>
    <row r="121" spans="1:17" s="230" customFormat="1" ht="14.7" customHeight="1" x14ac:dyDescent="0.3"/>
    <row r="122" spans="1:17" s="230" customFormat="1" ht="14.7" customHeight="1" x14ac:dyDescent="0.3"/>
    <row r="123" spans="1:17" s="230" customFormat="1" ht="14.7" customHeight="1" x14ac:dyDescent="0.3"/>
    <row r="124" spans="1:17" s="230" customFormat="1" ht="14.7" customHeight="1" x14ac:dyDescent="0.3"/>
    <row r="125" spans="1:17" s="230" customFormat="1" ht="14.7" customHeight="1" x14ac:dyDescent="0.3"/>
    <row r="126" spans="1:17" s="230" customFormat="1" ht="14.7" customHeight="1" x14ac:dyDescent="0.3">
      <c r="A126" s="236"/>
      <c r="F126" s="236"/>
      <c r="N126" s="233"/>
      <c r="P126" s="231"/>
      <c r="Q126" s="240">
        <f>+N6+N2</f>
        <v>-17464681</v>
      </c>
    </row>
    <row r="127" spans="1:17" s="230" customFormat="1" ht="14.7" customHeight="1" x14ac:dyDescent="0.3">
      <c r="A127" s="236"/>
      <c r="F127" s="236"/>
      <c r="N127" s="233">
        <f>SUBTOTAL(9,N2:N95)</f>
        <v>-51859623</v>
      </c>
      <c r="P127" s="231"/>
      <c r="Q127" s="240">
        <f>+Q126+Q95</f>
        <v>-14010</v>
      </c>
    </row>
    <row r="128" spans="1:17" s="230" customFormat="1" ht="14.7" customHeight="1" x14ac:dyDescent="0.3">
      <c r="A128" s="236"/>
      <c r="F128" s="236"/>
      <c r="N128" s="233"/>
      <c r="P128" s="231"/>
    </row>
    <row r="129" spans="1:16" s="230" customFormat="1" ht="14.7" customHeight="1" x14ac:dyDescent="0.3">
      <c r="A129" s="227" t="s">
        <v>2523</v>
      </c>
      <c r="B129" s="227" t="s">
        <v>2524</v>
      </c>
      <c r="C129" s="227" t="s">
        <v>2531</v>
      </c>
      <c r="D129" s="227" t="s">
        <v>2532</v>
      </c>
      <c r="E129" s="227" t="s">
        <v>2534</v>
      </c>
      <c r="F129" s="227" t="s">
        <v>2535</v>
      </c>
      <c r="G129" s="228" t="s">
        <v>2536</v>
      </c>
      <c r="I129" s="227" t="s">
        <v>2531</v>
      </c>
      <c r="J129" s="227" t="s">
        <v>2532</v>
      </c>
      <c r="L129" s="227" t="s">
        <v>2534</v>
      </c>
      <c r="M129" s="227" t="s">
        <v>2535</v>
      </c>
      <c r="N129" s="228" t="s">
        <v>2536</v>
      </c>
      <c r="P129" s="231"/>
    </row>
    <row r="130" spans="1:16" s="230" customFormat="1" ht="14.7" hidden="1" customHeight="1" x14ac:dyDescent="0.3">
      <c r="A130" s="231" t="s">
        <v>242</v>
      </c>
      <c r="B130" s="230" t="s">
        <v>245</v>
      </c>
      <c r="C130" s="230">
        <v>1100</v>
      </c>
      <c r="D130" s="230" t="s">
        <v>2542</v>
      </c>
      <c r="E130" s="230">
        <v>4000</v>
      </c>
      <c r="F130" s="230" t="s">
        <v>125</v>
      </c>
      <c r="G130" s="232">
        <v>-16746681</v>
      </c>
      <c r="I130" s="230">
        <v>1100</v>
      </c>
      <c r="J130" s="230" t="s">
        <v>2542</v>
      </c>
      <c r="L130" s="230">
        <v>4000</v>
      </c>
      <c r="M130" s="230" t="s">
        <v>2590</v>
      </c>
      <c r="N130" s="233">
        <v>-191500</v>
      </c>
      <c r="P130" s="231"/>
    </row>
    <row r="131" spans="1:16" s="230" customFormat="1" ht="14.7" hidden="1" customHeight="1" x14ac:dyDescent="0.3">
      <c r="A131" s="230" t="s">
        <v>286</v>
      </c>
      <c r="B131" s="230" t="s">
        <v>288</v>
      </c>
      <c r="C131" s="230">
        <v>4500</v>
      </c>
      <c r="D131" s="230" t="s">
        <v>2547</v>
      </c>
      <c r="E131" s="230">
        <v>5600</v>
      </c>
      <c r="F131" s="230" t="s">
        <v>2548</v>
      </c>
      <c r="G131" s="234">
        <v>-2595522</v>
      </c>
      <c r="I131" s="230">
        <v>4500</v>
      </c>
      <c r="J131" s="230" t="s">
        <v>2547</v>
      </c>
      <c r="L131" s="230">
        <v>5600</v>
      </c>
      <c r="M131" s="230" t="s">
        <v>2590</v>
      </c>
      <c r="N131" s="233">
        <v>-100000</v>
      </c>
      <c r="P131" s="231"/>
    </row>
    <row r="132" spans="1:16" s="230" customFormat="1" ht="14.7" customHeight="1" x14ac:dyDescent="0.3">
      <c r="A132" s="230" t="s">
        <v>282</v>
      </c>
      <c r="B132" s="241" t="s">
        <v>2550</v>
      </c>
      <c r="C132" s="241">
        <v>4420</v>
      </c>
      <c r="D132" s="241" t="s">
        <v>2552</v>
      </c>
      <c r="E132" s="241">
        <v>4100</v>
      </c>
      <c r="F132" s="241" t="s">
        <v>125</v>
      </c>
      <c r="G132" s="234">
        <v>-718000</v>
      </c>
      <c r="H132" s="241"/>
      <c r="I132" s="241">
        <v>4420</v>
      </c>
      <c r="J132" s="241" t="s">
        <v>2552</v>
      </c>
      <c r="K132" s="241"/>
      <c r="L132" s="241">
        <v>4100</v>
      </c>
      <c r="M132" s="241" t="s">
        <v>2618</v>
      </c>
      <c r="N132" s="234">
        <v>-65000</v>
      </c>
      <c r="O132" s="242">
        <f>SUBTOTAL(9,N130:N132)</f>
        <v>-356500</v>
      </c>
      <c r="P132" s="243">
        <f>O132</f>
        <v>-356500</v>
      </c>
    </row>
    <row r="133" spans="1:16" s="230" customFormat="1" ht="14.7" hidden="1" customHeight="1" x14ac:dyDescent="0.3">
      <c r="A133" s="231" t="s">
        <v>437</v>
      </c>
      <c r="B133" s="230" t="s">
        <v>2554</v>
      </c>
      <c r="C133" s="230">
        <v>3110</v>
      </c>
      <c r="D133" s="230" t="s">
        <v>2557</v>
      </c>
      <c r="E133" s="230">
        <v>2000</v>
      </c>
      <c r="F133" s="230" t="s">
        <v>2558</v>
      </c>
      <c r="G133" s="234">
        <v>-1121886</v>
      </c>
      <c r="I133" s="230">
        <v>3110</v>
      </c>
      <c r="J133" s="230" t="s">
        <v>2557</v>
      </c>
      <c r="L133" s="230">
        <v>2000</v>
      </c>
      <c r="M133" s="230" t="s">
        <v>2558</v>
      </c>
      <c r="N133" s="233">
        <v>-1121886</v>
      </c>
      <c r="P133" s="231"/>
    </row>
    <row r="134" spans="1:16" s="230" customFormat="1" ht="14.7" hidden="1" customHeight="1" x14ac:dyDescent="0.3">
      <c r="A134" s="230" t="s">
        <v>333</v>
      </c>
      <c r="B134" s="230" t="s">
        <v>334</v>
      </c>
      <c r="C134" s="230">
        <v>4500</v>
      </c>
      <c r="D134" s="230" t="s">
        <v>2547</v>
      </c>
      <c r="E134" s="230">
        <v>5600</v>
      </c>
      <c r="F134" s="230" t="s">
        <v>2548</v>
      </c>
      <c r="G134" s="232">
        <v>-677749</v>
      </c>
      <c r="I134" s="230">
        <v>4500</v>
      </c>
      <c r="J134" s="230" t="s">
        <v>2547</v>
      </c>
      <c r="L134" s="230">
        <v>5600</v>
      </c>
      <c r="M134" s="230" t="s">
        <v>2558</v>
      </c>
      <c r="N134" s="233">
        <v>-233552</v>
      </c>
      <c r="P134" s="231"/>
    </row>
    <row r="135" spans="1:16" s="230" customFormat="1" ht="14.7" hidden="1" customHeight="1" x14ac:dyDescent="0.3">
      <c r="A135" s="236" t="s">
        <v>262</v>
      </c>
      <c r="B135" s="230" t="s">
        <v>265</v>
      </c>
      <c r="C135" s="230">
        <v>4100</v>
      </c>
      <c r="D135" s="230" t="s">
        <v>2564</v>
      </c>
      <c r="E135" s="230">
        <v>5410</v>
      </c>
      <c r="F135" s="230" t="s">
        <v>2566</v>
      </c>
      <c r="G135" s="234">
        <v>-568895</v>
      </c>
      <c r="I135" s="230">
        <v>4100</v>
      </c>
      <c r="J135" s="230" t="s">
        <v>2564</v>
      </c>
      <c r="L135" s="230">
        <v>5410</v>
      </c>
      <c r="M135" s="230" t="s">
        <v>2558</v>
      </c>
      <c r="N135" s="233">
        <v>-43328.000000000044</v>
      </c>
      <c r="P135" s="231"/>
    </row>
    <row r="136" spans="1:16" s="230" customFormat="1" ht="14.7" customHeight="1" x14ac:dyDescent="0.3">
      <c r="A136" s="231" t="s">
        <v>2510</v>
      </c>
      <c r="B136" s="241" t="s">
        <v>2511</v>
      </c>
      <c r="C136" s="241">
        <v>2000</v>
      </c>
      <c r="D136" s="241" t="s">
        <v>2570</v>
      </c>
      <c r="E136" s="241">
        <v>4000</v>
      </c>
      <c r="F136" s="241" t="s">
        <v>125</v>
      </c>
      <c r="G136" s="234">
        <v>-568052</v>
      </c>
      <c r="H136" s="241" t="s">
        <v>2543</v>
      </c>
      <c r="I136" s="241">
        <v>2000</v>
      </c>
      <c r="J136" s="241" t="s">
        <v>2570</v>
      </c>
      <c r="K136" s="241"/>
      <c r="L136" s="241">
        <v>4000</v>
      </c>
      <c r="M136" s="241" t="s">
        <v>2558</v>
      </c>
      <c r="N136" s="234">
        <v>-1000</v>
      </c>
      <c r="O136" s="242">
        <f>SUBTOTAL(9,N133:N136)</f>
        <v>-1399766</v>
      </c>
      <c r="P136" s="243">
        <f>O136</f>
        <v>-1399766</v>
      </c>
    </row>
    <row r="137" spans="1:16" s="230" customFormat="1" ht="14.7" hidden="1" customHeight="1" x14ac:dyDescent="0.3">
      <c r="A137" s="230" t="s">
        <v>297</v>
      </c>
      <c r="B137" s="230" t="s">
        <v>298</v>
      </c>
      <c r="C137" s="230">
        <v>6400</v>
      </c>
      <c r="D137" s="230" t="s">
        <v>2572</v>
      </c>
      <c r="E137" s="230">
        <v>5300</v>
      </c>
      <c r="F137" s="230" t="s">
        <v>2574</v>
      </c>
      <c r="G137" s="234">
        <v>-511977</v>
      </c>
      <c r="H137" s="230" t="s">
        <v>2577</v>
      </c>
      <c r="I137" s="230">
        <v>6400</v>
      </c>
      <c r="J137" s="230" t="s">
        <v>2572</v>
      </c>
      <c r="K137" s="230" t="s">
        <v>125</v>
      </c>
      <c r="L137" s="230">
        <v>5300</v>
      </c>
      <c r="M137" s="230" t="s">
        <v>2630</v>
      </c>
      <c r="N137" s="244">
        <v>-30000</v>
      </c>
      <c r="O137" s="245"/>
      <c r="P137" s="231"/>
    </row>
    <row r="138" spans="1:16" s="230" customFormat="1" ht="14.55" customHeight="1" x14ac:dyDescent="0.3">
      <c r="A138" s="231" t="s">
        <v>2484</v>
      </c>
      <c r="B138" s="241" t="s">
        <v>2485</v>
      </c>
      <c r="C138" s="241">
        <v>1100</v>
      </c>
      <c r="D138" s="241" t="s">
        <v>2542</v>
      </c>
      <c r="E138" s="241">
        <v>4000</v>
      </c>
      <c r="F138" s="241" t="s">
        <v>125</v>
      </c>
      <c r="G138" s="234">
        <v>-435620</v>
      </c>
      <c r="H138" s="241" t="s">
        <v>2577</v>
      </c>
      <c r="I138" s="241">
        <v>1100</v>
      </c>
      <c r="J138" s="241" t="s">
        <v>2542</v>
      </c>
      <c r="K138" s="241" t="s">
        <v>125</v>
      </c>
      <c r="L138" s="241">
        <v>4000</v>
      </c>
      <c r="M138" s="241" t="s">
        <v>2630</v>
      </c>
      <c r="N138" s="234">
        <v>-7200</v>
      </c>
      <c r="O138" s="246">
        <f>SUBTOTAL(9,N137:N138)</f>
        <v>-37200</v>
      </c>
      <c r="P138" s="243">
        <f>O138</f>
        <v>-37200</v>
      </c>
    </row>
    <row r="139" spans="1:16" s="230" customFormat="1" ht="14.7" hidden="1" customHeight="1" x14ac:dyDescent="0.3">
      <c r="A139" s="236" t="s">
        <v>279</v>
      </c>
      <c r="B139" s="230" t="s">
        <v>281</v>
      </c>
      <c r="C139" s="230">
        <v>4221</v>
      </c>
      <c r="D139" s="230" t="s">
        <v>2579</v>
      </c>
      <c r="E139" s="230">
        <v>5500</v>
      </c>
      <c r="F139" s="230" t="s">
        <v>2581</v>
      </c>
      <c r="G139" s="232">
        <v>-391435</v>
      </c>
      <c r="H139" s="230" t="s">
        <v>2577</v>
      </c>
      <c r="I139" s="230">
        <v>4221</v>
      </c>
      <c r="J139" s="230" t="s">
        <v>2579</v>
      </c>
      <c r="K139" s="230" t="s">
        <v>125</v>
      </c>
      <c r="L139" s="230">
        <v>5500</v>
      </c>
      <c r="M139" s="230" t="s">
        <v>125</v>
      </c>
      <c r="N139" s="233">
        <v>-16746681</v>
      </c>
      <c r="O139" s="245"/>
      <c r="P139" s="231"/>
    </row>
    <row r="140" spans="1:16" s="230" customFormat="1" ht="14.7" hidden="1" customHeight="1" x14ac:dyDescent="0.3">
      <c r="A140" s="230" t="s">
        <v>256</v>
      </c>
      <c r="B140" s="230" t="s">
        <v>258</v>
      </c>
      <c r="C140" s="230">
        <v>3120</v>
      </c>
      <c r="D140" s="230" t="s">
        <v>2583</v>
      </c>
      <c r="E140" s="230">
        <v>6100</v>
      </c>
      <c r="F140" s="230" t="s">
        <v>2584</v>
      </c>
      <c r="G140" s="232">
        <v>-213520</v>
      </c>
      <c r="H140" s="230" t="s">
        <v>2577</v>
      </c>
      <c r="I140" s="230">
        <v>3120</v>
      </c>
      <c r="J140" s="230" t="s">
        <v>2583</v>
      </c>
      <c r="K140" s="230" t="s">
        <v>125</v>
      </c>
      <c r="L140" s="230">
        <v>6100</v>
      </c>
      <c r="M140" s="230" t="s">
        <v>125</v>
      </c>
      <c r="N140" s="233">
        <v>-718000</v>
      </c>
      <c r="O140" s="245"/>
      <c r="P140" s="231"/>
    </row>
    <row r="141" spans="1:16" s="230" customFormat="1" ht="14.7" hidden="1" customHeight="1" x14ac:dyDescent="0.3">
      <c r="A141" s="230" t="s">
        <v>341</v>
      </c>
      <c r="B141" s="230" t="s">
        <v>342</v>
      </c>
      <c r="C141" s="230">
        <v>6400</v>
      </c>
      <c r="D141" s="230" t="s">
        <v>2572</v>
      </c>
      <c r="E141" s="230">
        <v>5300</v>
      </c>
      <c r="F141" s="230" t="s">
        <v>2574</v>
      </c>
      <c r="G141" s="232">
        <v>-205000</v>
      </c>
      <c r="H141" s="230" t="s">
        <v>2577</v>
      </c>
      <c r="I141" s="230">
        <v>6400</v>
      </c>
      <c r="J141" s="230" t="s">
        <v>2572</v>
      </c>
      <c r="K141" s="230" t="s">
        <v>125</v>
      </c>
      <c r="L141" s="230">
        <v>5300</v>
      </c>
      <c r="M141" s="230" t="s">
        <v>125</v>
      </c>
      <c r="N141" s="233">
        <v>-568052</v>
      </c>
      <c r="O141" s="245"/>
      <c r="P141" s="231"/>
    </row>
    <row r="142" spans="1:16" s="230" customFormat="1" ht="14.7" hidden="1" customHeight="1" x14ac:dyDescent="0.3">
      <c r="A142" s="231" t="s">
        <v>253</v>
      </c>
      <c r="B142" s="230" t="s">
        <v>2588</v>
      </c>
      <c r="C142" s="230">
        <v>3110</v>
      </c>
      <c r="D142" s="230" t="s">
        <v>2557</v>
      </c>
      <c r="E142" s="230">
        <v>6300</v>
      </c>
      <c r="F142" s="230" t="s">
        <v>2590</v>
      </c>
      <c r="G142" s="232">
        <v>-191500</v>
      </c>
      <c r="H142" s="230" t="s">
        <v>2577</v>
      </c>
      <c r="I142" s="230">
        <v>3110</v>
      </c>
      <c r="J142" s="230" t="s">
        <v>2557</v>
      </c>
      <c r="K142" s="230" t="s">
        <v>125</v>
      </c>
      <c r="L142" s="230">
        <v>6300</v>
      </c>
      <c r="M142" s="230" t="s">
        <v>125</v>
      </c>
      <c r="N142" s="233">
        <v>-435620</v>
      </c>
      <c r="O142" s="245"/>
      <c r="P142" s="231"/>
    </row>
    <row r="143" spans="1:16" s="230" customFormat="1" ht="14.7" hidden="1" customHeight="1" x14ac:dyDescent="0.3">
      <c r="A143" s="230" t="s">
        <v>289</v>
      </c>
      <c r="B143" s="230" t="s">
        <v>291</v>
      </c>
      <c r="C143" s="230">
        <v>5160</v>
      </c>
      <c r="D143" s="230" t="s">
        <v>2594</v>
      </c>
      <c r="E143" s="230">
        <v>6100</v>
      </c>
      <c r="F143" s="230" t="s">
        <v>2584</v>
      </c>
      <c r="G143" s="232">
        <v>-146889</v>
      </c>
      <c r="H143" s="230" t="s">
        <v>2577</v>
      </c>
      <c r="I143" s="230">
        <v>5160</v>
      </c>
      <c r="J143" s="230" t="s">
        <v>2594</v>
      </c>
      <c r="K143" s="230" t="s">
        <v>125</v>
      </c>
      <c r="L143" s="230">
        <v>6100</v>
      </c>
      <c r="M143" s="230" t="s">
        <v>125</v>
      </c>
      <c r="N143" s="233">
        <v>-35000</v>
      </c>
      <c r="O143" s="245"/>
      <c r="P143" s="231"/>
    </row>
    <row r="144" spans="1:16" s="230" customFormat="1" ht="14.7" hidden="1" customHeight="1" x14ac:dyDescent="0.3">
      <c r="A144" s="231" t="s">
        <v>431</v>
      </c>
      <c r="B144" s="230" t="s">
        <v>433</v>
      </c>
      <c r="C144" s="230">
        <v>1500</v>
      </c>
      <c r="D144" s="230" t="s">
        <v>2595</v>
      </c>
      <c r="E144" s="230">
        <v>2000</v>
      </c>
      <c r="F144" s="230" t="s">
        <v>2558</v>
      </c>
      <c r="G144" s="232">
        <v>-233552</v>
      </c>
      <c r="H144" s="230" t="s">
        <v>2577</v>
      </c>
      <c r="I144" s="230">
        <v>1500</v>
      </c>
      <c r="J144" s="230" t="s">
        <v>2595</v>
      </c>
      <c r="K144" s="230" t="s">
        <v>125</v>
      </c>
      <c r="L144" s="230">
        <v>2000</v>
      </c>
      <c r="M144" s="230" t="s">
        <v>125</v>
      </c>
      <c r="N144" s="233">
        <v>-7000</v>
      </c>
      <c r="O144" s="245"/>
      <c r="P144" s="231"/>
    </row>
    <row r="145" spans="1:16" s="230" customFormat="1" ht="14.7" customHeight="1" x14ac:dyDescent="0.3">
      <c r="A145" s="236" t="s">
        <v>269</v>
      </c>
      <c r="B145" s="241" t="s">
        <v>270</v>
      </c>
      <c r="C145" s="241">
        <v>4100</v>
      </c>
      <c r="D145" s="241" t="s">
        <v>2564</v>
      </c>
      <c r="E145" s="241">
        <v>5430</v>
      </c>
      <c r="F145" s="241" t="s">
        <v>2597</v>
      </c>
      <c r="G145" s="234">
        <v>-129797</v>
      </c>
      <c r="H145" s="241" t="s">
        <v>2577</v>
      </c>
      <c r="I145" s="241">
        <v>4100</v>
      </c>
      <c r="J145" s="241" t="s">
        <v>2564</v>
      </c>
      <c r="K145" s="241" t="s">
        <v>125</v>
      </c>
      <c r="L145" s="241">
        <v>5430</v>
      </c>
      <c r="M145" s="241" t="s">
        <v>125</v>
      </c>
      <c r="N145" s="234">
        <v>-1000</v>
      </c>
      <c r="O145" s="242">
        <f>SUBTOTAL(9,N139:N145)</f>
        <v>-18511353</v>
      </c>
      <c r="P145" s="231"/>
    </row>
    <row r="146" spans="1:16" s="230" customFormat="1" ht="14.7" customHeight="1" x14ac:dyDescent="0.3">
      <c r="A146" s="236" t="s">
        <v>266</v>
      </c>
      <c r="B146" s="241" t="s">
        <v>268</v>
      </c>
      <c r="C146" s="241">
        <v>4100</v>
      </c>
      <c r="D146" s="241" t="s">
        <v>2564</v>
      </c>
      <c r="E146" s="241">
        <v>5420</v>
      </c>
      <c r="F146" s="241" t="s">
        <v>2599</v>
      </c>
      <c r="G146" s="234">
        <v>-97475</v>
      </c>
      <c r="H146" s="241" t="s">
        <v>2582</v>
      </c>
      <c r="I146" s="241">
        <v>4100</v>
      </c>
      <c r="J146" s="241" t="s">
        <v>2564</v>
      </c>
      <c r="K146" s="241" t="s">
        <v>433</v>
      </c>
      <c r="L146" s="241">
        <v>5420</v>
      </c>
      <c r="M146" s="241" t="s">
        <v>2608</v>
      </c>
      <c r="N146" s="234">
        <v>-78227</v>
      </c>
      <c r="O146" s="246">
        <f>N146</f>
        <v>-78227</v>
      </c>
      <c r="P146" s="243">
        <f>O146</f>
        <v>-78227</v>
      </c>
    </row>
    <row r="147" spans="1:16" s="230" customFormat="1" ht="14.7" hidden="1" customHeight="1" x14ac:dyDescent="0.3">
      <c r="A147" s="236" t="s">
        <v>246</v>
      </c>
      <c r="B147" s="230" t="s">
        <v>249</v>
      </c>
      <c r="C147" s="230">
        <v>2210</v>
      </c>
      <c r="D147" s="230" t="s">
        <v>2601</v>
      </c>
      <c r="E147" s="230">
        <v>6100</v>
      </c>
      <c r="F147" s="230" t="s">
        <v>2584</v>
      </c>
      <c r="G147" s="232">
        <v>-94500</v>
      </c>
      <c r="H147" s="230" t="s">
        <v>2582</v>
      </c>
      <c r="I147" s="230">
        <v>2210</v>
      </c>
      <c r="J147" s="230" t="s">
        <v>2601</v>
      </c>
      <c r="K147" s="230" t="s">
        <v>433</v>
      </c>
      <c r="L147" s="230">
        <v>6100</v>
      </c>
      <c r="M147" s="230" t="s">
        <v>2599</v>
      </c>
      <c r="N147" s="247">
        <v>-97475</v>
      </c>
      <c r="O147" s="245"/>
      <c r="P147" s="231"/>
    </row>
    <row r="148" spans="1:16" s="230" customFormat="1" ht="14.7" hidden="1" customHeight="1" x14ac:dyDescent="0.3">
      <c r="A148" s="236" t="s">
        <v>277</v>
      </c>
      <c r="B148" s="230" t="s">
        <v>2602</v>
      </c>
      <c r="C148" s="230">
        <v>4210</v>
      </c>
      <c r="D148" s="230" t="s">
        <v>2603</v>
      </c>
      <c r="E148" s="230">
        <v>6300</v>
      </c>
      <c r="F148" s="230" t="s">
        <v>2590</v>
      </c>
      <c r="G148" s="232">
        <v>-100000</v>
      </c>
      <c r="H148" s="230" t="s">
        <v>2546</v>
      </c>
      <c r="I148" s="230">
        <v>4210</v>
      </c>
      <c r="J148" s="230" t="s">
        <v>2603</v>
      </c>
      <c r="K148" s="230" t="s">
        <v>2580</v>
      </c>
      <c r="L148" s="230">
        <v>6300</v>
      </c>
      <c r="M148" s="230" t="s">
        <v>2548</v>
      </c>
      <c r="N148" s="233">
        <v>-2595522</v>
      </c>
      <c r="O148" s="245"/>
      <c r="P148" s="231"/>
    </row>
    <row r="149" spans="1:16" s="230" customFormat="1" ht="14.7" customHeight="1" x14ac:dyDescent="0.3">
      <c r="A149" s="230" t="s">
        <v>305</v>
      </c>
      <c r="B149" s="241" t="s">
        <v>307</v>
      </c>
      <c r="C149" s="241">
        <v>5130</v>
      </c>
      <c r="D149" s="241" t="s">
        <v>2606</v>
      </c>
      <c r="E149" s="241">
        <v>7020</v>
      </c>
      <c r="F149" s="241" t="s">
        <v>2608</v>
      </c>
      <c r="G149" s="234">
        <v>-78227</v>
      </c>
      <c r="H149" s="241" t="s">
        <v>2546</v>
      </c>
      <c r="I149" s="241">
        <v>5130</v>
      </c>
      <c r="J149" s="241" t="s">
        <v>2606</v>
      </c>
      <c r="K149" s="241" t="s">
        <v>2580</v>
      </c>
      <c r="L149" s="241">
        <v>7020</v>
      </c>
      <c r="M149" s="241" t="s">
        <v>2548</v>
      </c>
      <c r="N149" s="234">
        <v>-677749</v>
      </c>
      <c r="O149" s="242">
        <f>SUM(N148:N149)</f>
        <v>-3273271</v>
      </c>
      <c r="P149" s="231"/>
    </row>
    <row r="150" spans="1:16" s="230" customFormat="1" ht="14.7" hidden="1" customHeight="1" x14ac:dyDescent="0.3">
      <c r="A150" s="236" t="s">
        <v>271</v>
      </c>
      <c r="B150" s="230" t="s">
        <v>272</v>
      </c>
      <c r="C150" s="230">
        <v>4100</v>
      </c>
      <c r="D150" s="230" t="s">
        <v>2564</v>
      </c>
      <c r="E150" s="230">
        <v>5431</v>
      </c>
      <c r="F150" s="230" t="s">
        <v>2609</v>
      </c>
      <c r="G150" s="232">
        <v>-109238</v>
      </c>
      <c r="H150" s="230" t="s">
        <v>2577</v>
      </c>
      <c r="I150" s="230">
        <v>4100</v>
      </c>
      <c r="J150" s="230" t="s">
        <v>2564</v>
      </c>
      <c r="K150" s="230" t="s">
        <v>125</v>
      </c>
      <c r="L150" s="230">
        <v>5431</v>
      </c>
      <c r="M150" s="230" t="s">
        <v>2632</v>
      </c>
      <c r="N150" s="247">
        <v>-25000</v>
      </c>
      <c r="O150" s="245"/>
      <c r="P150" s="231"/>
    </row>
    <row r="151" spans="1:16" s="230" customFormat="1" ht="14.7" hidden="1" customHeight="1" x14ac:dyDescent="0.3">
      <c r="A151" s="230" t="s">
        <v>417</v>
      </c>
      <c r="B151" s="230" t="s">
        <v>418</v>
      </c>
      <c r="C151" s="230">
        <v>1100</v>
      </c>
      <c r="D151" s="230" t="s">
        <v>2542</v>
      </c>
      <c r="E151" s="230">
        <v>1000</v>
      </c>
      <c r="F151" s="230" t="s">
        <v>2615</v>
      </c>
      <c r="G151" s="238"/>
      <c r="H151" s="230" t="s">
        <v>2577</v>
      </c>
      <c r="I151" s="230">
        <v>1100</v>
      </c>
      <c r="J151" s="230" t="s">
        <v>2542</v>
      </c>
      <c r="K151" s="230" t="s">
        <v>125</v>
      </c>
      <c r="L151" s="230">
        <v>1000</v>
      </c>
      <c r="M151" s="230" t="s">
        <v>2632</v>
      </c>
      <c r="N151" s="248">
        <v>-25000</v>
      </c>
      <c r="O151" s="245"/>
      <c r="P151" s="231"/>
    </row>
    <row r="152" spans="1:16" s="230" customFormat="1" ht="14.7" hidden="1" customHeight="1" x14ac:dyDescent="0.3">
      <c r="A152" s="236" t="s">
        <v>275</v>
      </c>
      <c r="B152" s="230" t="s">
        <v>276</v>
      </c>
      <c r="C152" s="230">
        <v>4100</v>
      </c>
      <c r="D152" s="230" t="s">
        <v>2564</v>
      </c>
      <c r="E152" s="230">
        <v>6200</v>
      </c>
      <c r="F152" s="230" t="s">
        <v>2618</v>
      </c>
      <c r="G152" s="232">
        <v>-65000</v>
      </c>
      <c r="H152" s="230" t="s">
        <v>2577</v>
      </c>
      <c r="I152" s="230">
        <v>4100</v>
      </c>
      <c r="J152" s="230" t="s">
        <v>2564</v>
      </c>
      <c r="K152" s="230" t="s">
        <v>125</v>
      </c>
      <c r="L152" s="230">
        <v>6200</v>
      </c>
      <c r="M152" s="230" t="s">
        <v>2632</v>
      </c>
      <c r="N152" s="247">
        <v>-1953</v>
      </c>
      <c r="O152" s="245"/>
      <c r="P152" s="231"/>
    </row>
    <row r="153" spans="1:16" s="230" customFormat="1" ht="14.7" hidden="1" customHeight="1" x14ac:dyDescent="0.3">
      <c r="A153" s="230" t="s">
        <v>417</v>
      </c>
      <c r="B153" s="230" t="s">
        <v>418</v>
      </c>
      <c r="C153" s="230">
        <v>1100</v>
      </c>
      <c r="D153" s="230" t="s">
        <v>2542</v>
      </c>
      <c r="E153" s="230">
        <v>1000</v>
      </c>
      <c r="F153" s="230" t="s">
        <v>2615</v>
      </c>
      <c r="G153" s="232">
        <v>-50000</v>
      </c>
      <c r="H153" s="230" t="s">
        <v>2577</v>
      </c>
      <c r="I153" s="230">
        <v>1100</v>
      </c>
      <c r="J153" s="230" t="s">
        <v>2542</v>
      </c>
      <c r="K153" s="230" t="s">
        <v>125</v>
      </c>
      <c r="L153" s="230">
        <v>1000</v>
      </c>
      <c r="M153" s="230" t="s">
        <v>2566</v>
      </c>
      <c r="N153" s="247">
        <v>-568895</v>
      </c>
      <c r="O153" s="245"/>
      <c r="P153" s="231"/>
    </row>
    <row r="154" spans="1:16" s="230" customFormat="1" ht="14.7" hidden="1" customHeight="1" x14ac:dyDescent="0.3">
      <c r="A154" s="230" t="s">
        <v>331</v>
      </c>
      <c r="B154" s="230" t="s">
        <v>332</v>
      </c>
      <c r="C154" s="230">
        <v>4330</v>
      </c>
      <c r="D154" s="230" t="s">
        <v>2620</v>
      </c>
      <c r="E154" s="230">
        <v>2000</v>
      </c>
      <c r="F154" s="230" t="s">
        <v>2558</v>
      </c>
      <c r="G154" s="232">
        <v>-43328.000000000044</v>
      </c>
      <c r="I154" s="230">
        <v>4330</v>
      </c>
      <c r="J154" s="230" t="s">
        <v>2620</v>
      </c>
      <c r="L154" s="230">
        <v>2000</v>
      </c>
      <c r="M154" s="230" t="s">
        <v>2597</v>
      </c>
      <c r="N154" s="247">
        <v>-129797</v>
      </c>
      <c r="O154" s="245"/>
      <c r="P154" s="231"/>
    </row>
    <row r="155" spans="1:16" s="230" customFormat="1" ht="14.7" hidden="1" customHeight="1" x14ac:dyDescent="0.3">
      <c r="A155" s="230" t="s">
        <v>335</v>
      </c>
      <c r="B155" s="230" t="s">
        <v>336</v>
      </c>
      <c r="C155" s="230">
        <v>6200</v>
      </c>
      <c r="D155" s="230" t="s">
        <v>2622</v>
      </c>
      <c r="E155" s="230">
        <v>5200</v>
      </c>
      <c r="F155" s="230" t="s">
        <v>2623</v>
      </c>
      <c r="G155" s="232">
        <v>-36000</v>
      </c>
      <c r="I155" s="230">
        <v>6200</v>
      </c>
      <c r="J155" s="230" t="s">
        <v>2622</v>
      </c>
      <c r="L155" s="230">
        <v>5200</v>
      </c>
      <c r="M155" s="230" t="s">
        <v>2609</v>
      </c>
      <c r="N155" s="247">
        <v>-109238</v>
      </c>
      <c r="O155" s="245"/>
      <c r="P155" s="231"/>
    </row>
    <row r="156" spans="1:16" s="230" customFormat="1" ht="14.7" hidden="1" customHeight="1" x14ac:dyDescent="0.3">
      <c r="A156" s="230" t="s">
        <v>399</v>
      </c>
      <c r="B156" s="230" t="s">
        <v>400</v>
      </c>
      <c r="C156" s="230">
        <v>6501</v>
      </c>
      <c r="D156" s="230" t="s">
        <v>2626</v>
      </c>
      <c r="E156" s="230">
        <v>4000</v>
      </c>
      <c r="F156" s="230" t="s">
        <v>125</v>
      </c>
      <c r="G156" s="232">
        <v>-35000</v>
      </c>
      <c r="I156" s="230">
        <v>6501</v>
      </c>
      <c r="J156" s="230" t="s">
        <v>2626</v>
      </c>
      <c r="L156" s="230">
        <v>4000</v>
      </c>
      <c r="M156" s="230" t="s">
        <v>2574</v>
      </c>
      <c r="N156" s="247">
        <v>-511977</v>
      </c>
      <c r="O156" s="245"/>
      <c r="P156" s="231"/>
    </row>
    <row r="157" spans="1:16" s="230" customFormat="1" ht="14.7" hidden="1" customHeight="1" x14ac:dyDescent="0.3">
      <c r="A157" s="236" t="s">
        <v>329</v>
      </c>
      <c r="B157" s="230" t="s">
        <v>330</v>
      </c>
      <c r="C157" s="230">
        <v>4221</v>
      </c>
      <c r="D157" s="230" t="s">
        <v>2579</v>
      </c>
      <c r="E157" s="230">
        <v>5500</v>
      </c>
      <c r="F157" s="230" t="s">
        <v>2581</v>
      </c>
      <c r="G157" s="232">
        <v>-33360</v>
      </c>
      <c r="I157" s="230">
        <v>4221</v>
      </c>
      <c r="J157" s="230" t="s">
        <v>2579</v>
      </c>
      <c r="L157" s="230">
        <v>5500</v>
      </c>
      <c r="M157" s="230" t="s">
        <v>2574</v>
      </c>
      <c r="N157" s="247">
        <v>-205000</v>
      </c>
      <c r="O157" s="245"/>
    </row>
    <row r="158" spans="1:16" s="230" customFormat="1" ht="14.7" hidden="1" customHeight="1" x14ac:dyDescent="0.3">
      <c r="A158" s="236" t="s">
        <v>299</v>
      </c>
      <c r="B158" s="230" t="s">
        <v>2628</v>
      </c>
      <c r="C158" s="230">
        <v>3300</v>
      </c>
      <c r="D158" s="230" t="s">
        <v>2629</v>
      </c>
      <c r="E158" s="230">
        <v>7030</v>
      </c>
      <c r="F158" s="230" t="s">
        <v>2630</v>
      </c>
      <c r="G158" s="232">
        <v>-30000</v>
      </c>
      <c r="I158" s="230">
        <v>3300</v>
      </c>
      <c r="J158" s="230" t="s">
        <v>2629</v>
      </c>
      <c r="L158" s="230">
        <v>7030</v>
      </c>
      <c r="M158" s="230" t="s">
        <v>2623</v>
      </c>
      <c r="N158" s="248">
        <v>-36000</v>
      </c>
      <c r="O158" s="245"/>
      <c r="P158" s="231"/>
    </row>
    <row r="159" spans="1:16" s="230" customFormat="1" ht="14.7" hidden="1" customHeight="1" x14ac:dyDescent="0.3">
      <c r="A159" s="230" t="s">
        <v>339</v>
      </c>
      <c r="B159" s="230" t="s">
        <v>340</v>
      </c>
      <c r="C159" s="230">
        <v>6302</v>
      </c>
      <c r="D159" s="230" t="s">
        <v>2631</v>
      </c>
      <c r="E159" s="230">
        <v>5100</v>
      </c>
      <c r="F159" s="230" t="s">
        <v>2632</v>
      </c>
      <c r="G159" s="232">
        <v>-25000</v>
      </c>
      <c r="I159" s="230">
        <v>6302</v>
      </c>
      <c r="J159" s="230" t="s">
        <v>2631</v>
      </c>
      <c r="L159" s="230">
        <v>5100</v>
      </c>
      <c r="M159" s="230" t="s">
        <v>2581</v>
      </c>
      <c r="N159" s="247">
        <v>-391435</v>
      </c>
      <c r="O159" s="245"/>
      <c r="P159" s="231"/>
    </row>
    <row r="160" spans="1:16" s="230" customFormat="1" ht="14.7" customHeight="1" x14ac:dyDescent="0.3">
      <c r="A160" s="230" t="s">
        <v>337</v>
      </c>
      <c r="B160" s="241" t="s">
        <v>338</v>
      </c>
      <c r="C160" s="241">
        <v>6301</v>
      </c>
      <c r="D160" s="241" t="s">
        <v>2634</v>
      </c>
      <c r="E160" s="241">
        <v>5100</v>
      </c>
      <c r="F160" s="241" t="s">
        <v>2632</v>
      </c>
      <c r="G160" s="234">
        <v>-25000</v>
      </c>
      <c r="H160" s="241"/>
      <c r="I160" s="241">
        <v>6301</v>
      </c>
      <c r="J160" s="241" t="s">
        <v>2634</v>
      </c>
      <c r="K160" s="241"/>
      <c r="L160" s="241">
        <v>5100</v>
      </c>
      <c r="M160" s="241" t="s">
        <v>2581</v>
      </c>
      <c r="N160" s="234">
        <v>-33360</v>
      </c>
      <c r="O160" s="242">
        <f>SUM(N150:N160)+N147</f>
        <v>-2135130</v>
      </c>
      <c r="P160" s="231"/>
    </row>
    <row r="161" spans="1:16" s="230" customFormat="1" ht="14.7" hidden="1" customHeight="1" x14ac:dyDescent="0.3">
      <c r="A161" s="236" t="s">
        <v>295</v>
      </c>
      <c r="B161" s="230" t="s">
        <v>296</v>
      </c>
      <c r="C161" s="230">
        <v>6400</v>
      </c>
      <c r="D161" s="230" t="s">
        <v>2572</v>
      </c>
      <c r="E161" s="230">
        <v>3000</v>
      </c>
      <c r="F161" s="230" t="s">
        <v>2635</v>
      </c>
      <c r="G161" s="232">
        <v>-23538</v>
      </c>
      <c r="I161" s="230">
        <v>6400</v>
      </c>
      <c r="J161" s="230" t="s">
        <v>2572</v>
      </c>
      <c r="L161" s="230">
        <v>3000</v>
      </c>
      <c r="M161" s="230" t="s">
        <v>2615</v>
      </c>
      <c r="N161" s="233"/>
      <c r="O161" s="245"/>
      <c r="P161" s="231"/>
    </row>
    <row r="162" spans="1:16" s="230" customFormat="1" ht="14.7" hidden="1" customHeight="1" x14ac:dyDescent="0.3">
      <c r="A162" s="230" t="s">
        <v>250</v>
      </c>
      <c r="B162" s="230" t="s">
        <v>2636</v>
      </c>
      <c r="C162" s="230">
        <v>3110</v>
      </c>
      <c r="D162" s="230" t="s">
        <v>2557</v>
      </c>
      <c r="E162" s="230">
        <v>6100</v>
      </c>
      <c r="F162" s="230" t="s">
        <v>2584</v>
      </c>
      <c r="G162" s="232">
        <v>-23180</v>
      </c>
      <c r="I162" s="230">
        <v>3110</v>
      </c>
      <c r="J162" s="230" t="s">
        <v>2557</v>
      </c>
      <c r="L162" s="230">
        <v>6100</v>
      </c>
      <c r="M162" s="230" t="s">
        <v>2615</v>
      </c>
      <c r="N162" s="233">
        <v>-50000</v>
      </c>
      <c r="O162" s="245"/>
      <c r="P162" s="231"/>
    </row>
    <row r="163" spans="1:16" s="230" customFormat="1" ht="14.7" customHeight="1" x14ac:dyDescent="0.3">
      <c r="A163" s="230" t="s">
        <v>417</v>
      </c>
      <c r="B163" s="241" t="s">
        <v>418</v>
      </c>
      <c r="C163" s="241">
        <v>1100</v>
      </c>
      <c r="D163" s="241" t="s">
        <v>2542</v>
      </c>
      <c r="E163" s="241">
        <v>1000</v>
      </c>
      <c r="F163" s="241" t="s">
        <v>2615</v>
      </c>
      <c r="G163" s="234">
        <v>-8000</v>
      </c>
      <c r="H163" s="241"/>
      <c r="I163" s="241">
        <v>1100</v>
      </c>
      <c r="J163" s="241" t="s">
        <v>2542</v>
      </c>
      <c r="K163" s="241"/>
      <c r="L163" s="241">
        <v>1000</v>
      </c>
      <c r="M163" s="241" t="s">
        <v>2615</v>
      </c>
      <c r="N163" s="249">
        <v>-8000</v>
      </c>
      <c r="O163" s="246">
        <f>SUM(N162:N163)</f>
        <v>-58000</v>
      </c>
      <c r="P163" s="243">
        <f>O163</f>
        <v>-58000</v>
      </c>
    </row>
    <row r="164" spans="1:16" s="230" customFormat="1" ht="14.7" customHeight="1" x14ac:dyDescent="0.3">
      <c r="A164" s="236" t="s">
        <v>259</v>
      </c>
      <c r="B164" s="241" t="s">
        <v>261</v>
      </c>
      <c r="C164" s="241">
        <v>3300</v>
      </c>
      <c r="D164" s="241" t="s">
        <v>2629</v>
      </c>
      <c r="E164" s="241">
        <v>7030</v>
      </c>
      <c r="F164" s="241" t="s">
        <v>2630</v>
      </c>
      <c r="G164" s="234">
        <v>-7200</v>
      </c>
      <c r="H164" s="241"/>
      <c r="I164" s="241">
        <v>3300</v>
      </c>
      <c r="J164" s="241" t="s">
        <v>2629</v>
      </c>
      <c r="K164" s="241"/>
      <c r="L164" s="241">
        <v>7030</v>
      </c>
      <c r="M164" s="241" t="s">
        <v>2635</v>
      </c>
      <c r="N164" s="249">
        <v>-23538</v>
      </c>
      <c r="O164" s="246">
        <f>N164</f>
        <v>-23538</v>
      </c>
      <c r="P164" s="243">
        <f>O164</f>
        <v>-23538</v>
      </c>
    </row>
    <row r="165" spans="1:16" s="230" customFormat="1" ht="14.7" hidden="1" customHeight="1" x14ac:dyDescent="0.3">
      <c r="A165" s="230" t="s">
        <v>1025</v>
      </c>
      <c r="B165" s="230" t="s">
        <v>2639</v>
      </c>
      <c r="C165" s="230">
        <v>6301</v>
      </c>
      <c r="D165" s="230" t="s">
        <v>2634</v>
      </c>
      <c r="E165" s="230">
        <v>4000</v>
      </c>
      <c r="F165" s="230" t="s">
        <v>125</v>
      </c>
      <c r="G165" s="232">
        <v>-7000</v>
      </c>
      <c r="I165" s="230">
        <v>6301</v>
      </c>
      <c r="J165" s="230" t="s">
        <v>2634</v>
      </c>
      <c r="L165" s="230">
        <v>4000</v>
      </c>
      <c r="M165" s="230" t="s">
        <v>2584</v>
      </c>
      <c r="N165" s="233">
        <v>-213520</v>
      </c>
      <c r="O165" s="245"/>
      <c r="P165" s="231"/>
    </row>
    <row r="166" spans="1:16" s="230" customFormat="1" ht="14.7" hidden="1" customHeight="1" x14ac:dyDescent="0.3">
      <c r="A166" s="230" t="s">
        <v>292</v>
      </c>
      <c r="B166" s="230" t="s">
        <v>2548</v>
      </c>
      <c r="C166" s="230">
        <v>6302</v>
      </c>
      <c r="D166" s="230" t="s">
        <v>2631</v>
      </c>
      <c r="E166" s="230">
        <v>5100</v>
      </c>
      <c r="F166" s="230" t="s">
        <v>2632</v>
      </c>
      <c r="G166" s="232">
        <v>-1953</v>
      </c>
      <c r="I166" s="230">
        <v>6302</v>
      </c>
      <c r="J166" s="230" t="s">
        <v>2631</v>
      </c>
      <c r="L166" s="230">
        <v>5100</v>
      </c>
      <c r="M166" s="230" t="s">
        <v>2584</v>
      </c>
      <c r="N166" s="233">
        <v>-146889</v>
      </c>
      <c r="O166" s="245"/>
      <c r="P166" s="231"/>
    </row>
    <row r="167" spans="1:16" s="230" customFormat="1" ht="14.7" hidden="1" customHeight="1" x14ac:dyDescent="0.3">
      <c r="A167" s="230" t="s">
        <v>441</v>
      </c>
      <c r="B167" s="230" t="s">
        <v>442</v>
      </c>
      <c r="C167" s="230">
        <v>4330</v>
      </c>
      <c r="D167" s="230" t="s">
        <v>2620</v>
      </c>
      <c r="E167" s="230">
        <v>2000</v>
      </c>
      <c r="F167" s="230" t="s">
        <v>2558</v>
      </c>
      <c r="G167" s="232">
        <v>-1000</v>
      </c>
      <c r="I167" s="230">
        <v>4330</v>
      </c>
      <c r="J167" s="230" t="s">
        <v>2620</v>
      </c>
      <c r="L167" s="230">
        <v>2000</v>
      </c>
      <c r="M167" s="230" t="s">
        <v>2584</v>
      </c>
      <c r="N167" s="233">
        <v>-94500</v>
      </c>
      <c r="O167" s="245"/>
      <c r="P167" s="231"/>
    </row>
    <row r="168" spans="1:16" s="230" customFormat="1" ht="14.7" customHeight="1" x14ac:dyDescent="0.3">
      <c r="A168" s="230" t="s">
        <v>1029</v>
      </c>
      <c r="B168" s="241" t="s">
        <v>2643</v>
      </c>
      <c r="C168" s="241">
        <v>6407</v>
      </c>
      <c r="D168" s="241" t="s">
        <v>2644</v>
      </c>
      <c r="E168" s="241">
        <v>4000</v>
      </c>
      <c r="F168" s="241" t="s">
        <v>125</v>
      </c>
      <c r="G168" s="234">
        <v>-1000</v>
      </c>
      <c r="H168" s="241"/>
      <c r="I168" s="241">
        <v>6407</v>
      </c>
      <c r="J168" s="241" t="s">
        <v>2644</v>
      </c>
      <c r="K168" s="241"/>
      <c r="L168" s="241">
        <v>4000</v>
      </c>
      <c r="M168" s="241" t="s">
        <v>2584</v>
      </c>
      <c r="N168" s="249">
        <v>-23180</v>
      </c>
      <c r="O168" s="246">
        <f>SUM(N165:N168)</f>
        <v>-478089</v>
      </c>
      <c r="P168" s="243">
        <f>O168</f>
        <v>-478089</v>
      </c>
    </row>
    <row r="169" spans="1:16" s="230" customFormat="1" ht="14.7" customHeight="1" x14ac:dyDescent="0.3">
      <c r="N169" s="233"/>
      <c r="P169" s="231"/>
    </row>
    <row r="170" spans="1:16" s="230" customFormat="1" ht="14.7" customHeight="1" x14ac:dyDescent="0.3">
      <c r="F170" s="236"/>
      <c r="N170" s="233">
        <f>SUM(N130:N169)</f>
        <v>-26351074</v>
      </c>
      <c r="O170" s="233">
        <f>SUM(O130:O169)</f>
        <v>-26351074</v>
      </c>
      <c r="P170" s="233">
        <f>SUM(P130:P169)</f>
        <v>-2431320</v>
      </c>
    </row>
    <row r="171" spans="1:16" s="230" customFormat="1" ht="14.7" customHeight="1" x14ac:dyDescent="0.3">
      <c r="F171" s="236"/>
      <c r="N171" s="233"/>
      <c r="P171" s="231"/>
    </row>
    <row r="172" spans="1:16" s="230" customFormat="1" x14ac:dyDescent="0.3">
      <c r="A172" s="236"/>
      <c r="F172" s="236"/>
      <c r="N172" s="244"/>
      <c r="O172" s="250">
        <f>+O132+O136+O138+O145+O146+O149+O160+O163+O164+O168</f>
        <v>-26351074</v>
      </c>
      <c r="P172" s="231"/>
    </row>
    <row r="173" spans="1:16" s="230" customFormat="1" x14ac:dyDescent="0.3">
      <c r="F173" s="236"/>
      <c r="N173" s="233"/>
      <c r="P173" s="231"/>
    </row>
    <row r="174" spans="1:16" s="230" customFormat="1" x14ac:dyDescent="0.3">
      <c r="N174" s="233"/>
      <c r="O174" s="230">
        <f>+'[2]Detailed Support - Middlesex'!M41</f>
        <v>26351074</v>
      </c>
    </row>
    <row r="175" spans="1:16" s="230" customFormat="1" x14ac:dyDescent="0.3">
      <c r="A175" s="236"/>
      <c r="F175" s="236"/>
      <c r="N175" s="244"/>
      <c r="O175" s="250">
        <f>+O174+O172</f>
        <v>0</v>
      </c>
      <c r="P175" s="231"/>
    </row>
    <row r="176" spans="1:16" s="230" customFormat="1" x14ac:dyDescent="0.3">
      <c r="F176" s="236"/>
      <c r="N176" s="233"/>
      <c r="P176" s="231"/>
    </row>
    <row r="177" spans="1:16" s="230" customFormat="1" x14ac:dyDescent="0.3">
      <c r="N177" s="244"/>
      <c r="P177" s="231"/>
    </row>
    <row r="178" spans="1:16" s="230" customFormat="1" x14ac:dyDescent="0.3">
      <c r="A178" s="236"/>
      <c r="F178" s="236"/>
      <c r="N178" s="244"/>
      <c r="P178" s="231"/>
    </row>
    <row r="179" spans="1:16" s="230" customFormat="1" x14ac:dyDescent="0.3">
      <c r="A179" s="236"/>
      <c r="F179" s="231"/>
      <c r="N179" s="233"/>
    </row>
    <row r="180" spans="1:16" s="230" customFormat="1" ht="14.7" customHeight="1" x14ac:dyDescent="0.3">
      <c r="F180" s="236"/>
      <c r="N180" s="244"/>
      <c r="P180" s="231"/>
    </row>
    <row r="181" spans="1:16" s="230" customFormat="1" ht="14.7" customHeight="1" x14ac:dyDescent="0.3">
      <c r="F181" s="236"/>
      <c r="N181" s="244"/>
      <c r="P181" s="231"/>
    </row>
    <row r="182" spans="1:16" s="230" customFormat="1" ht="14.7" customHeight="1" x14ac:dyDescent="0.3">
      <c r="A182" s="236"/>
      <c r="F182" s="236"/>
      <c r="N182" s="244"/>
      <c r="P182" s="231"/>
    </row>
    <row r="183" spans="1:16" s="230" customFormat="1" x14ac:dyDescent="0.3">
      <c r="N183" s="233"/>
    </row>
    <row r="184" spans="1:16" s="230" customFormat="1" x14ac:dyDescent="0.3">
      <c r="F184" s="236"/>
      <c r="N184" s="244"/>
      <c r="P184" s="231"/>
    </row>
    <row r="185" spans="1:16" s="230" customFormat="1" x14ac:dyDescent="0.3">
      <c r="N185" s="233"/>
    </row>
    <row r="186" spans="1:16" s="230" customFormat="1" x14ac:dyDescent="0.3">
      <c r="A186" s="236"/>
      <c r="F186" s="236"/>
      <c r="N186" s="233"/>
      <c r="P186" s="231"/>
    </row>
    <row r="187" spans="1:16" s="230" customFormat="1" x14ac:dyDescent="0.3">
      <c r="A187" s="236"/>
      <c r="F187" s="236"/>
      <c r="N187" s="233"/>
      <c r="P187" s="231"/>
    </row>
    <row r="188" spans="1:16" s="230" customFormat="1" x14ac:dyDescent="0.3">
      <c r="F188" s="231"/>
      <c r="N188" s="233"/>
      <c r="P188" s="231"/>
    </row>
    <row r="189" spans="1:16" s="230" customFormat="1" x14ac:dyDescent="0.3">
      <c r="A189" s="231"/>
      <c r="F189" s="231"/>
      <c r="N189" s="233"/>
      <c r="P189" s="231"/>
    </row>
    <row r="190" spans="1:16" s="230" customFormat="1" x14ac:dyDescent="0.3">
      <c r="A190" s="236"/>
      <c r="F190" s="236"/>
      <c r="N190" s="233"/>
    </row>
    <row r="191" spans="1:16" s="230" customFormat="1" x14ac:dyDescent="0.3">
      <c r="A191" s="236"/>
      <c r="F191" s="236"/>
      <c r="N191" s="233"/>
      <c r="P191" s="231"/>
    </row>
    <row r="192" spans="1:16" s="230" customFormat="1" x14ac:dyDescent="0.3">
      <c r="A192" s="236"/>
      <c r="F192" s="236"/>
      <c r="N192" s="233"/>
      <c r="P192" s="231"/>
    </row>
    <row r="193" spans="1:16" s="230" customFormat="1" x14ac:dyDescent="0.3">
      <c r="A193" s="236"/>
      <c r="F193" s="236"/>
      <c r="N193" s="233"/>
      <c r="P193" s="231"/>
    </row>
    <row r="194" spans="1:16" s="230" customFormat="1" x14ac:dyDescent="0.3">
      <c r="N194" s="233"/>
      <c r="P194" s="231"/>
    </row>
    <row r="195" spans="1:16" s="230" customFormat="1" x14ac:dyDescent="0.3">
      <c r="A195" s="236"/>
      <c r="F195" s="236"/>
      <c r="N195" s="233"/>
    </row>
    <row r="196" spans="1:16" s="230" customFormat="1" ht="14.7" customHeight="1" x14ac:dyDescent="0.3">
      <c r="N196" s="233"/>
    </row>
    <row r="197" spans="1:16" s="230" customFormat="1" x14ac:dyDescent="0.3">
      <c r="N197" s="233"/>
      <c r="P197" s="231"/>
    </row>
    <row r="198" spans="1:16" s="230" customFormat="1" x14ac:dyDescent="0.3">
      <c r="F198" s="236"/>
      <c r="N198" s="233"/>
      <c r="P198" s="231"/>
    </row>
    <row r="199" spans="1:16" s="230" customFormat="1" ht="14.7" customHeight="1" x14ac:dyDescent="0.3">
      <c r="F199" s="236"/>
      <c r="N199" s="233"/>
      <c r="P199" s="231"/>
    </row>
    <row r="200" spans="1:16" s="230" customFormat="1" x14ac:dyDescent="0.3">
      <c r="F200" s="236"/>
      <c r="N200" s="233"/>
      <c r="P200" s="231"/>
    </row>
    <row r="201" spans="1:16" s="230" customFormat="1" x14ac:dyDescent="0.3">
      <c r="N201" s="233"/>
      <c r="P201" s="231"/>
    </row>
    <row r="202" spans="1:16" s="230" customFormat="1" ht="14.7" customHeight="1" x14ac:dyDescent="0.3">
      <c r="A202" s="236"/>
      <c r="F202" s="236"/>
      <c r="N202" s="244"/>
      <c r="P202" s="231"/>
    </row>
    <row r="203" spans="1:16" s="230" customFormat="1" x14ac:dyDescent="0.3">
      <c r="A203" s="236"/>
      <c r="F203" s="236"/>
      <c r="N203" s="244"/>
      <c r="P203" s="231"/>
    </row>
    <row r="204" spans="1:16" s="230" customFormat="1" ht="14.7" customHeight="1" x14ac:dyDescent="0.3">
      <c r="A204" s="236"/>
      <c r="F204" s="236"/>
      <c r="N204" s="244"/>
      <c r="P204" s="231"/>
    </row>
    <row r="205" spans="1:16" s="230" customFormat="1" ht="14.7" customHeight="1" x14ac:dyDescent="0.3">
      <c r="A205" s="236"/>
      <c r="F205" s="236"/>
      <c r="N205" s="233"/>
      <c r="P205" s="231"/>
    </row>
    <row r="206" spans="1:16" s="230" customFormat="1" ht="14.7" customHeight="1" x14ac:dyDescent="0.3">
      <c r="F206" s="236"/>
      <c r="N206" s="244"/>
      <c r="P206" s="231"/>
    </row>
    <row r="207" spans="1:16" s="230" customFormat="1" ht="14.7" customHeight="1" x14ac:dyDescent="0.3">
      <c r="A207" s="236"/>
      <c r="F207" s="236"/>
      <c r="N207" s="244"/>
      <c r="P207" s="231"/>
    </row>
    <row r="208" spans="1:16" s="230" customFormat="1" ht="14.7" customHeight="1" x14ac:dyDescent="0.3">
      <c r="A208" s="236"/>
      <c r="F208" s="236"/>
      <c r="N208" s="244"/>
      <c r="P208" s="231"/>
    </row>
    <row r="209" spans="1:16" s="230" customFormat="1" ht="14.7" customHeight="1" x14ac:dyDescent="0.3">
      <c r="A209" s="236"/>
      <c r="F209" s="236"/>
      <c r="N209" s="233"/>
    </row>
    <row r="210" spans="1:16" s="230" customFormat="1" ht="14.7" customHeight="1" x14ac:dyDescent="0.3">
      <c r="N210" s="233"/>
    </row>
    <row r="211" spans="1:16" s="230" customFormat="1" ht="14.7" customHeight="1" x14ac:dyDescent="0.3">
      <c r="F211" s="236"/>
      <c r="N211" s="233"/>
      <c r="P211" s="231"/>
    </row>
    <row r="212" spans="1:16" s="230" customFormat="1" ht="14.7" customHeight="1" x14ac:dyDescent="0.3">
      <c r="A212" s="236"/>
      <c r="F212" s="236"/>
      <c r="N212" s="244"/>
      <c r="P212" s="231"/>
    </row>
    <row r="213" spans="1:16" s="230" customFormat="1" ht="14.7" customHeight="1" x14ac:dyDescent="0.3">
      <c r="A213" s="236"/>
      <c r="F213" s="236"/>
      <c r="N213" s="244"/>
      <c r="P213" s="231"/>
    </row>
    <row r="214" spans="1:16" s="230" customFormat="1" ht="14.7" customHeight="1" x14ac:dyDescent="0.3">
      <c r="A214" s="236"/>
      <c r="F214" s="236"/>
      <c r="N214" s="244"/>
      <c r="P214" s="231"/>
    </row>
    <row r="215" spans="1:16" s="230" customFormat="1" ht="14.7" customHeight="1" x14ac:dyDescent="0.3">
      <c r="A215" s="236"/>
      <c r="F215" s="236"/>
      <c r="N215" s="244"/>
      <c r="P215" s="231"/>
    </row>
    <row r="216" spans="1:16" s="230" customFormat="1" ht="14.7" customHeight="1" x14ac:dyDescent="0.3">
      <c r="A216" s="236"/>
      <c r="F216" s="236"/>
      <c r="N216" s="244"/>
      <c r="P216" s="231"/>
    </row>
    <row r="217" spans="1:16" s="230" customFormat="1" ht="14.7" customHeight="1" x14ac:dyDescent="0.3">
      <c r="F217" s="236"/>
      <c r="N217" s="244"/>
      <c r="P217" s="231"/>
    </row>
    <row r="218" spans="1:16" s="230" customFormat="1" ht="14.7" customHeight="1" x14ac:dyDescent="0.3">
      <c r="F218" s="236"/>
      <c r="N218" s="244"/>
      <c r="P218" s="231"/>
    </row>
    <row r="219" spans="1:16" s="230" customFormat="1" ht="14.7" customHeight="1" x14ac:dyDescent="0.3">
      <c r="N219" s="233"/>
      <c r="P219" s="231"/>
    </row>
    <row r="220" spans="1:16" s="230" customFormat="1" ht="14.7" customHeight="1" x14ac:dyDescent="0.3">
      <c r="A220" s="236"/>
      <c r="N220" s="244"/>
    </row>
    <row r="221" spans="1:16" s="230" customFormat="1" ht="14.7" customHeight="1" x14ac:dyDescent="0.3">
      <c r="A221" s="236"/>
      <c r="F221" s="236"/>
      <c r="N221" s="244"/>
      <c r="P221" s="231"/>
    </row>
    <row r="222" spans="1:16" s="230" customFormat="1" ht="14.7" customHeight="1" x14ac:dyDescent="0.3">
      <c r="A222" s="236"/>
      <c r="F222" s="236"/>
      <c r="N222" s="244"/>
      <c r="P222" s="231"/>
    </row>
    <row r="223" spans="1:16" s="230" customFormat="1" ht="14.7" customHeight="1" x14ac:dyDescent="0.3">
      <c r="A223" s="236"/>
      <c r="F223" s="236"/>
      <c r="N223" s="244"/>
      <c r="P223" s="231"/>
    </row>
    <row r="224" spans="1:16" s="230" customFormat="1" ht="14.7" customHeight="1" x14ac:dyDescent="0.3">
      <c r="N224" s="233"/>
    </row>
    <row r="225" spans="1:16" s="230" customFormat="1" ht="14.7" customHeight="1" x14ac:dyDescent="0.3">
      <c r="N225" s="233"/>
      <c r="P225" s="231"/>
    </row>
    <row r="226" spans="1:16" s="230" customFormat="1" ht="14.7" customHeight="1" x14ac:dyDescent="0.3">
      <c r="N226" s="233"/>
    </row>
    <row r="227" spans="1:16" s="230" customFormat="1" ht="14.7" customHeight="1" x14ac:dyDescent="0.3">
      <c r="N227" s="233"/>
      <c r="P227" s="231"/>
    </row>
    <row r="228" spans="1:16" s="230" customFormat="1" ht="14.7" customHeight="1" x14ac:dyDescent="0.3">
      <c r="N228" s="251"/>
    </row>
    <row r="229" spans="1:16" s="230" customFormat="1" ht="14.7" customHeight="1" x14ac:dyDescent="0.3">
      <c r="N229" s="233"/>
    </row>
    <row r="230" spans="1:16" s="230" customFormat="1" ht="14.7" customHeight="1" x14ac:dyDescent="0.3">
      <c r="F230" s="236"/>
      <c r="N230" s="233"/>
      <c r="P230" s="231"/>
    </row>
    <row r="231" spans="1:16" s="230" customFormat="1" ht="14.7" customHeight="1" x14ac:dyDescent="0.3">
      <c r="N231" s="233"/>
      <c r="P231" s="231"/>
    </row>
    <row r="232" spans="1:16" s="230" customFormat="1" x14ac:dyDescent="0.3">
      <c r="A232" s="236"/>
      <c r="F232" s="236"/>
      <c r="N232" s="244"/>
      <c r="P232" s="231"/>
    </row>
    <row r="233" spans="1:16" s="230" customFormat="1" ht="14.7" customHeight="1" x14ac:dyDescent="0.3">
      <c r="A233" s="236"/>
      <c r="F233" s="236"/>
      <c r="N233" s="244"/>
      <c r="P233" s="231"/>
    </row>
    <row r="234" spans="1:16" s="230" customFormat="1" ht="14.7" customHeight="1" x14ac:dyDescent="0.3">
      <c r="A234" s="236"/>
      <c r="F234" s="236"/>
      <c r="N234" s="244"/>
      <c r="P234" s="231"/>
    </row>
    <row r="235" spans="1:16" s="230" customFormat="1" x14ac:dyDescent="0.3">
      <c r="A235" s="236"/>
      <c r="F235" s="236"/>
      <c r="N235" s="244"/>
      <c r="P235" s="231"/>
    </row>
    <row r="236" spans="1:16" s="230" customFormat="1" ht="14.7" customHeight="1" x14ac:dyDescent="0.3">
      <c r="N236" s="233"/>
    </row>
    <row r="237" spans="1:16" s="230" customFormat="1" ht="14.7" customHeight="1" x14ac:dyDescent="0.3">
      <c r="N237" s="244"/>
      <c r="P237" s="231"/>
    </row>
    <row r="238" spans="1:16" s="230" customFormat="1" ht="14.7" customHeight="1" x14ac:dyDescent="0.3">
      <c r="F238" s="236"/>
      <c r="N238" s="244"/>
      <c r="P238" s="231"/>
    </row>
    <row r="239" spans="1:16" s="230" customFormat="1" x14ac:dyDescent="0.3">
      <c r="F239" s="236"/>
      <c r="N239" s="244"/>
      <c r="P239" s="231"/>
    </row>
    <row r="240" spans="1:16" s="230" customFormat="1" ht="14.7" customHeight="1" x14ac:dyDescent="0.3">
      <c r="F240" s="231"/>
      <c r="N240" s="233"/>
      <c r="P240" s="231"/>
    </row>
    <row r="241" spans="1:16" s="230" customFormat="1" ht="14.7" customHeight="1" x14ac:dyDescent="0.3">
      <c r="A241" s="231"/>
      <c r="F241" s="231"/>
      <c r="N241" s="233"/>
      <c r="P241" s="231"/>
    </row>
    <row r="242" spans="1:16" s="230" customFormat="1" ht="14.7" customHeight="1" x14ac:dyDescent="0.3">
      <c r="A242" s="236"/>
      <c r="F242" s="236"/>
      <c r="N242" s="233"/>
    </row>
    <row r="243" spans="1:16" s="230" customFormat="1" ht="14.7" customHeight="1" x14ac:dyDescent="0.3">
      <c r="A243" s="231"/>
      <c r="F243" s="231"/>
      <c r="N243" s="233"/>
    </row>
    <row r="244" spans="1:16" s="230" customFormat="1" ht="14.7" customHeight="1" x14ac:dyDescent="0.3">
      <c r="N244" s="233"/>
    </row>
    <row r="245" spans="1:16" s="230" customFormat="1" ht="14.7" customHeight="1" x14ac:dyDescent="0.3">
      <c r="A245" s="231"/>
      <c r="F245" s="231"/>
      <c r="N245" s="233"/>
    </row>
    <row r="246" spans="1:16" s="230" customFormat="1" ht="14.7" customHeight="1" x14ac:dyDescent="0.3">
      <c r="F246" s="236"/>
      <c r="N246" s="244"/>
      <c r="P246" s="231"/>
    </row>
    <row r="247" spans="1:16" s="230" customFormat="1" x14ac:dyDescent="0.3">
      <c r="A247" s="236"/>
      <c r="F247" s="236"/>
      <c r="N247" s="244"/>
      <c r="P247" s="231"/>
    </row>
    <row r="248" spans="1:16" s="230" customFormat="1" ht="14.7" customHeight="1" x14ac:dyDescent="0.3">
      <c r="N248" s="233"/>
    </row>
    <row r="249" spans="1:16" s="230" customFormat="1" ht="14.7" customHeight="1" x14ac:dyDescent="0.3">
      <c r="A249" s="236"/>
      <c r="F249" s="236"/>
      <c r="N249" s="233"/>
    </row>
    <row r="250" spans="1:16" s="230" customFormat="1" ht="14.7" customHeight="1" x14ac:dyDescent="0.3">
      <c r="N250" s="244"/>
      <c r="P250" s="231"/>
    </row>
    <row r="251" spans="1:16" s="230" customFormat="1" ht="14.7" customHeight="1" x14ac:dyDescent="0.3">
      <c r="A251" s="236"/>
      <c r="F251" s="236"/>
      <c r="N251" s="244"/>
      <c r="P251" s="231"/>
    </row>
    <row r="252" spans="1:16" s="230" customFormat="1" ht="14.7" customHeight="1" x14ac:dyDescent="0.3">
      <c r="N252" s="244"/>
      <c r="P252" s="231"/>
    </row>
    <row r="253" spans="1:16" s="230" customFormat="1" ht="14.7" customHeight="1" x14ac:dyDescent="0.3">
      <c r="N253" s="244"/>
      <c r="P253" s="231"/>
    </row>
    <row r="254" spans="1:16" s="230" customFormat="1" ht="14.7" customHeight="1" x14ac:dyDescent="0.3">
      <c r="A254" s="236"/>
      <c r="F254" s="236"/>
      <c r="N254" s="244"/>
      <c r="P254" s="231"/>
    </row>
    <row r="255" spans="1:16" s="230" customFormat="1" ht="14.7" customHeight="1" x14ac:dyDescent="0.3">
      <c r="F255" s="236"/>
      <c r="N255" s="244"/>
      <c r="P255" s="231"/>
    </row>
    <row r="256" spans="1:16" s="230" customFormat="1" ht="14.7" customHeight="1" x14ac:dyDescent="0.3">
      <c r="A256" s="236"/>
      <c r="F256" s="236"/>
      <c r="N256" s="244"/>
      <c r="P256" s="231"/>
    </row>
    <row r="257" spans="1:16" s="230" customFormat="1" ht="14.7" customHeight="1" x14ac:dyDescent="0.3">
      <c r="A257" s="236"/>
      <c r="F257" s="236"/>
      <c r="N257" s="244"/>
      <c r="P257" s="231"/>
    </row>
    <row r="258" spans="1:16" s="230" customFormat="1" ht="14.7" customHeight="1" x14ac:dyDescent="0.3">
      <c r="A258" s="236"/>
      <c r="F258" s="236"/>
      <c r="N258" s="244"/>
      <c r="P258" s="231"/>
    </row>
    <row r="259" spans="1:16" s="230" customFormat="1" ht="14.7" customHeight="1" x14ac:dyDescent="0.3">
      <c r="A259" s="236"/>
      <c r="F259" s="236"/>
      <c r="N259" s="244"/>
      <c r="P259" s="231"/>
    </row>
    <row r="260" spans="1:16" s="230" customFormat="1" ht="14.7" customHeight="1" x14ac:dyDescent="0.3">
      <c r="A260" s="236"/>
      <c r="F260" s="236"/>
      <c r="N260" s="244"/>
      <c r="P260" s="231"/>
    </row>
    <row r="261" spans="1:16" s="230" customFormat="1" ht="14.7" customHeight="1" x14ac:dyDescent="0.3">
      <c r="A261" s="236"/>
      <c r="F261" s="236"/>
      <c r="N261" s="244"/>
      <c r="P261" s="231"/>
    </row>
    <row r="262" spans="1:16" s="230" customFormat="1" ht="14.7" customHeight="1" x14ac:dyDescent="0.3">
      <c r="N262" s="244"/>
    </row>
    <row r="263" spans="1:16" s="230" customFormat="1" ht="14.7" customHeight="1" x14ac:dyDescent="0.3">
      <c r="A263" s="236"/>
      <c r="F263" s="236"/>
      <c r="N263" s="244"/>
      <c r="P263" s="231"/>
    </row>
    <row r="264" spans="1:16" s="230" customFormat="1" ht="14.7" customHeight="1" x14ac:dyDescent="0.3">
      <c r="A264" s="236"/>
      <c r="F264" s="236"/>
      <c r="N264" s="233"/>
    </row>
    <row r="265" spans="1:16" s="230" customFormat="1" ht="14.7" customHeight="1" x14ac:dyDescent="0.3">
      <c r="N265" s="233"/>
    </row>
    <row r="266" spans="1:16" s="230" customFormat="1" ht="14.7" customHeight="1" x14ac:dyDescent="0.3">
      <c r="A266" s="236"/>
      <c r="F266" s="236"/>
      <c r="N266" s="233"/>
      <c r="P266" s="231"/>
    </row>
    <row r="267" spans="1:16" s="230" customFormat="1" ht="14.7" customHeight="1" x14ac:dyDescent="0.3">
      <c r="F267" s="231"/>
      <c r="N267" s="233"/>
      <c r="P267" s="231"/>
    </row>
    <row r="268" spans="1:16" s="230" customFormat="1" ht="14.7" customHeight="1" x14ac:dyDescent="0.3">
      <c r="F268" s="236"/>
      <c r="N268" s="233"/>
      <c r="P268" s="231"/>
    </row>
    <row r="269" spans="1:16" s="230" customFormat="1" ht="14.7" customHeight="1" x14ac:dyDescent="0.3">
      <c r="F269" s="236"/>
      <c r="N269" s="233"/>
      <c r="P269" s="231"/>
    </row>
    <row r="270" spans="1:16" s="230" customFormat="1" ht="14.7" customHeight="1" x14ac:dyDescent="0.3">
      <c r="F270" s="236"/>
      <c r="N270" s="233"/>
      <c r="P270" s="231"/>
    </row>
    <row r="271" spans="1:16" s="230" customFormat="1" ht="14.7" customHeight="1" x14ac:dyDescent="0.3">
      <c r="A271" s="236"/>
      <c r="F271" s="236"/>
      <c r="N271" s="244"/>
      <c r="P271" s="231"/>
    </row>
    <row r="272" spans="1:16" s="230" customFormat="1" ht="14.7" customHeight="1" x14ac:dyDescent="0.3">
      <c r="A272" s="231"/>
      <c r="F272" s="231"/>
      <c r="N272" s="233"/>
    </row>
    <row r="273" spans="1:16" s="230" customFormat="1" ht="14.7" customHeight="1" x14ac:dyDescent="0.3">
      <c r="F273" s="236"/>
      <c r="N273" s="244"/>
      <c r="P273" s="231"/>
    </row>
    <row r="274" spans="1:16" s="230" customFormat="1" ht="14.7" customHeight="1" x14ac:dyDescent="0.3">
      <c r="F274" s="236"/>
      <c r="N274" s="244"/>
    </row>
    <row r="275" spans="1:16" s="230" customFormat="1" ht="14.7" customHeight="1" x14ac:dyDescent="0.3">
      <c r="F275" s="236"/>
      <c r="N275" s="233"/>
      <c r="P275" s="231"/>
    </row>
    <row r="276" spans="1:16" s="230" customFormat="1" ht="14.7" customHeight="1" x14ac:dyDescent="0.3">
      <c r="A276" s="236"/>
      <c r="F276" s="236"/>
      <c r="N276" s="244"/>
      <c r="P276" s="231"/>
    </row>
    <row r="277" spans="1:16" s="230" customFormat="1" ht="14.7" customHeight="1" x14ac:dyDescent="0.3">
      <c r="A277" s="236"/>
      <c r="F277" s="236"/>
      <c r="N277" s="244"/>
      <c r="P277" s="231"/>
    </row>
    <row r="278" spans="1:16" s="230" customFormat="1" ht="14.7" customHeight="1" x14ac:dyDescent="0.3">
      <c r="A278" s="236"/>
      <c r="F278" s="236"/>
      <c r="N278" s="244"/>
      <c r="P278" s="231"/>
    </row>
    <row r="279" spans="1:16" s="230" customFormat="1" ht="14.7" customHeight="1" x14ac:dyDescent="0.3">
      <c r="A279" s="236"/>
      <c r="F279" s="236"/>
      <c r="N279" s="244"/>
      <c r="P279" s="231"/>
    </row>
    <row r="280" spans="1:16" s="230" customFormat="1" ht="14.7" customHeight="1" x14ac:dyDescent="0.3">
      <c r="A280" s="231"/>
      <c r="F280" s="231"/>
      <c r="N280" s="233"/>
    </row>
    <row r="281" spans="1:16" s="230" customFormat="1" ht="14.7" customHeight="1" x14ac:dyDescent="0.3">
      <c r="A281" s="236"/>
      <c r="N281" s="233"/>
    </row>
    <row r="282" spans="1:16" s="230" customFormat="1" ht="14.7" customHeight="1" x14ac:dyDescent="0.3">
      <c r="A282" s="236"/>
      <c r="F282" s="236"/>
      <c r="N282" s="233"/>
      <c r="P282" s="231"/>
    </row>
    <row r="283" spans="1:16" s="230" customFormat="1" ht="14.7" customHeight="1" x14ac:dyDescent="0.3">
      <c r="N283" s="233"/>
      <c r="P283" s="231"/>
    </row>
    <row r="284" spans="1:16" s="230" customFormat="1" ht="14.7" customHeight="1" x14ac:dyDescent="0.3">
      <c r="N284" s="244"/>
      <c r="P284" s="231"/>
    </row>
    <row r="285" spans="1:16" s="230" customFormat="1" ht="14.7" customHeight="1" x14ac:dyDescent="0.3">
      <c r="N285" s="244"/>
      <c r="P285" s="231"/>
    </row>
    <row r="286" spans="1:16" s="230" customFormat="1" ht="14.7" customHeight="1" x14ac:dyDescent="0.3">
      <c r="F286" s="236"/>
      <c r="N286" s="233"/>
    </row>
    <row r="287" spans="1:16" s="230" customFormat="1" ht="14.7" customHeight="1" x14ac:dyDescent="0.3">
      <c r="A287" s="236"/>
      <c r="F287" s="236"/>
      <c r="N287" s="244"/>
      <c r="P287" s="231"/>
    </row>
    <row r="288" spans="1:16" s="230" customFormat="1" ht="14.7" customHeight="1" x14ac:dyDescent="0.3">
      <c r="A288" s="236"/>
      <c r="F288" s="236"/>
      <c r="N288" s="244"/>
      <c r="P288" s="231"/>
    </row>
    <row r="289" spans="1:16" s="230" customFormat="1" ht="14.7" customHeight="1" x14ac:dyDescent="0.3">
      <c r="A289" s="236"/>
      <c r="F289" s="236"/>
      <c r="N289" s="244"/>
      <c r="P289" s="231"/>
    </row>
    <row r="290" spans="1:16" s="230" customFormat="1" ht="14.7" customHeight="1" x14ac:dyDescent="0.3">
      <c r="F290" s="236"/>
      <c r="N290" s="233"/>
      <c r="P290" s="231"/>
    </row>
    <row r="291" spans="1:16" s="230" customFormat="1" ht="14.7" customHeight="1" x14ac:dyDescent="0.3">
      <c r="A291" s="236"/>
      <c r="F291" s="236"/>
      <c r="N291" s="233"/>
    </row>
    <row r="292" spans="1:16" s="230" customFormat="1" ht="14.7" customHeight="1" x14ac:dyDescent="0.3">
      <c r="A292" s="231"/>
      <c r="F292" s="231"/>
      <c r="N292" s="233"/>
      <c r="P292" s="231"/>
    </row>
    <row r="293" spans="1:16" s="230" customFormat="1" ht="14.7" customHeight="1" x14ac:dyDescent="0.3">
      <c r="A293" s="236"/>
      <c r="F293" s="236"/>
      <c r="N293" s="233"/>
      <c r="P293" s="231"/>
    </row>
    <row r="294" spans="1:16" s="230" customFormat="1" ht="14.7" customHeight="1" x14ac:dyDescent="0.3">
      <c r="F294" s="236"/>
      <c r="N294" s="233"/>
      <c r="P294" s="231"/>
    </row>
    <row r="295" spans="1:16" s="230" customFormat="1" ht="14.7" customHeight="1" x14ac:dyDescent="0.3">
      <c r="A295" s="236"/>
      <c r="F295" s="236"/>
      <c r="N295" s="244"/>
      <c r="P295" s="231"/>
    </row>
    <row r="296" spans="1:16" s="230" customFormat="1" ht="14.7" customHeight="1" x14ac:dyDescent="0.3">
      <c r="A296" s="236"/>
      <c r="F296" s="236"/>
      <c r="N296" s="244"/>
      <c r="P296" s="231"/>
    </row>
    <row r="297" spans="1:16" s="230" customFormat="1" ht="14.7" customHeight="1" x14ac:dyDescent="0.3">
      <c r="F297" s="236"/>
      <c r="N297" s="244"/>
      <c r="P297" s="231"/>
    </row>
    <row r="298" spans="1:16" s="230" customFormat="1" ht="14.7" customHeight="1" x14ac:dyDescent="0.3">
      <c r="F298" s="236"/>
      <c r="N298" s="244"/>
      <c r="P298" s="231"/>
    </row>
    <row r="299" spans="1:16" s="230" customFormat="1" ht="14.7" customHeight="1" x14ac:dyDescent="0.3">
      <c r="A299" s="236"/>
      <c r="F299" s="236"/>
      <c r="N299" s="244"/>
      <c r="P299" s="231"/>
    </row>
    <row r="300" spans="1:16" s="230" customFormat="1" ht="14.7" customHeight="1" x14ac:dyDescent="0.3">
      <c r="A300" s="236"/>
      <c r="F300" s="236"/>
      <c r="N300" s="233"/>
    </row>
    <row r="301" spans="1:16" s="230" customFormat="1" ht="14.7" customHeight="1" x14ac:dyDescent="0.3">
      <c r="N301" s="233"/>
      <c r="P301" s="231"/>
    </row>
    <row r="302" spans="1:16" s="230" customFormat="1" ht="14.7" customHeight="1" x14ac:dyDescent="0.3">
      <c r="F302" s="236"/>
      <c r="N302" s="233"/>
      <c r="P302" s="231"/>
    </row>
    <row r="303" spans="1:16" s="230" customFormat="1" ht="14.7" customHeight="1" x14ac:dyDescent="0.3">
      <c r="F303" s="236"/>
      <c r="N303" s="244"/>
      <c r="P303" s="231"/>
    </row>
    <row r="304" spans="1:16" s="230" customFormat="1" x14ac:dyDescent="0.3">
      <c r="A304" s="236"/>
      <c r="F304" s="236"/>
      <c r="N304" s="244"/>
      <c r="P304" s="231"/>
    </row>
    <row r="305" spans="1:16" s="230" customFormat="1" ht="14.7" customHeight="1" x14ac:dyDescent="0.3">
      <c r="A305" s="236"/>
      <c r="F305" s="236"/>
      <c r="N305" s="244"/>
      <c r="P305" s="231"/>
    </row>
    <row r="306" spans="1:16" s="230" customFormat="1" ht="14.7" customHeight="1" x14ac:dyDescent="0.3">
      <c r="F306" s="236"/>
      <c r="N306" s="233"/>
      <c r="P306" s="231"/>
    </row>
    <row r="307" spans="1:16" s="230" customFormat="1" ht="14.7" customHeight="1" x14ac:dyDescent="0.3">
      <c r="A307" s="236"/>
      <c r="F307" s="236"/>
      <c r="N307" s="244"/>
      <c r="P307" s="231"/>
    </row>
    <row r="308" spans="1:16" s="230" customFormat="1" ht="14.7" customHeight="1" x14ac:dyDescent="0.3">
      <c r="A308" s="236"/>
      <c r="F308" s="236"/>
      <c r="N308" s="233"/>
    </row>
    <row r="309" spans="1:16" s="230" customFormat="1" ht="14.7" customHeight="1" x14ac:dyDescent="0.3">
      <c r="N309" s="251"/>
    </row>
    <row r="310" spans="1:16" s="230" customFormat="1" ht="14.7" customHeight="1" x14ac:dyDescent="0.3">
      <c r="F310" s="236"/>
      <c r="N310" s="233"/>
      <c r="P310" s="231"/>
    </row>
    <row r="311" spans="1:16" s="230" customFormat="1" ht="14.7" customHeight="1" x14ac:dyDescent="0.3">
      <c r="A311" s="236"/>
      <c r="F311" s="236"/>
      <c r="N311" s="244"/>
      <c r="P311" s="231"/>
    </row>
    <row r="312" spans="1:16" s="230" customFormat="1" ht="14.7" customHeight="1" x14ac:dyDescent="0.3">
      <c r="A312" s="236"/>
      <c r="F312" s="236"/>
      <c r="N312" s="244"/>
      <c r="P312" s="231"/>
    </row>
    <row r="313" spans="1:16" s="230" customFormat="1" ht="14.7" customHeight="1" x14ac:dyDescent="0.3">
      <c r="F313" s="236"/>
      <c r="N313" s="244"/>
      <c r="P313" s="231"/>
    </row>
    <row r="314" spans="1:16" s="230" customFormat="1" ht="14.7" customHeight="1" x14ac:dyDescent="0.3">
      <c r="F314" s="236"/>
      <c r="N314" s="233"/>
      <c r="P314" s="231"/>
    </row>
    <row r="315" spans="1:16" s="230" customFormat="1" ht="14.7" customHeight="1" x14ac:dyDescent="0.3">
      <c r="F315" s="236"/>
      <c r="N315" s="233"/>
      <c r="P315" s="231"/>
    </row>
    <row r="316" spans="1:16" s="230" customFormat="1" ht="14.7" customHeight="1" x14ac:dyDescent="0.3">
      <c r="F316" s="236"/>
      <c r="N316" s="233"/>
      <c r="P316" s="231"/>
    </row>
    <row r="317" spans="1:16" s="230" customFormat="1" ht="14.7" customHeight="1" x14ac:dyDescent="0.3">
      <c r="F317" s="236"/>
      <c r="N317" s="244"/>
      <c r="P317" s="231"/>
    </row>
    <row r="318" spans="1:16" s="230" customFormat="1" ht="14.7" customHeight="1" x14ac:dyDescent="0.3">
      <c r="N318" s="233"/>
      <c r="P318" s="231"/>
    </row>
    <row r="319" spans="1:16" s="230" customFormat="1" ht="14.7" customHeight="1" x14ac:dyDescent="0.3">
      <c r="F319" s="236"/>
      <c r="N319" s="233"/>
      <c r="P319" s="231"/>
    </row>
    <row r="320" spans="1:16" s="230" customFormat="1" ht="14.7" customHeight="1" x14ac:dyDescent="0.3">
      <c r="A320" s="236"/>
      <c r="F320" s="236"/>
      <c r="N320" s="244"/>
      <c r="P320" s="231"/>
    </row>
    <row r="321" spans="1:16" s="230" customFormat="1" ht="14.7" customHeight="1" x14ac:dyDescent="0.3">
      <c r="A321" s="236"/>
      <c r="F321" s="236"/>
      <c r="N321" s="244"/>
      <c r="P321" s="231"/>
    </row>
    <row r="322" spans="1:16" s="230" customFormat="1" ht="14.7" customHeight="1" x14ac:dyDescent="0.3">
      <c r="A322" s="236"/>
      <c r="F322" s="236"/>
      <c r="N322" s="244"/>
      <c r="P322" s="231"/>
    </row>
    <row r="323" spans="1:16" s="230" customFormat="1" ht="14.7" customHeight="1" x14ac:dyDescent="0.3">
      <c r="A323" s="236"/>
      <c r="F323" s="236"/>
      <c r="N323" s="244"/>
      <c r="P323" s="231"/>
    </row>
    <row r="324" spans="1:16" s="230" customFormat="1" ht="14.7" customHeight="1" x14ac:dyDescent="0.3">
      <c r="A324" s="236"/>
      <c r="F324" s="236"/>
      <c r="N324" s="244"/>
      <c r="P324" s="231"/>
    </row>
    <row r="325" spans="1:16" s="230" customFormat="1" ht="14.7" customHeight="1" x14ac:dyDescent="0.3">
      <c r="A325" s="236"/>
      <c r="F325" s="236"/>
      <c r="N325" s="244"/>
      <c r="P325" s="231"/>
    </row>
    <row r="326" spans="1:16" s="230" customFormat="1" ht="14.7" customHeight="1" x14ac:dyDescent="0.3">
      <c r="F326" s="236"/>
      <c r="N326" s="233"/>
    </row>
    <row r="327" spans="1:16" s="230" customFormat="1" ht="14.7" customHeight="1" x14ac:dyDescent="0.3">
      <c r="F327" s="236"/>
      <c r="N327" s="244"/>
      <c r="P327" s="231"/>
    </row>
    <row r="328" spans="1:16" s="230" customFormat="1" ht="14.7" customHeight="1" x14ac:dyDescent="0.3">
      <c r="F328" s="236"/>
      <c r="N328" s="244"/>
      <c r="P328" s="231"/>
    </row>
    <row r="329" spans="1:16" s="230" customFormat="1" ht="14.7" customHeight="1" x14ac:dyDescent="0.3">
      <c r="F329" s="236"/>
      <c r="N329" s="244"/>
      <c r="P329" s="252"/>
    </row>
    <row r="330" spans="1:16" s="230" customFormat="1" ht="14.7" customHeight="1" x14ac:dyDescent="0.3">
      <c r="N330" s="233"/>
      <c r="P330" s="231"/>
    </row>
    <row r="331" spans="1:16" s="230" customFormat="1" ht="14.7" customHeight="1" x14ac:dyDescent="0.3">
      <c r="F331" s="236"/>
      <c r="N331" s="233"/>
    </row>
    <row r="332" spans="1:16" s="230" customFormat="1" ht="14.7" customHeight="1" x14ac:dyDescent="0.3">
      <c r="F332" s="236"/>
      <c r="N332" s="233"/>
      <c r="P332" s="231"/>
    </row>
    <row r="333" spans="1:16" s="230" customFormat="1" ht="14.7" customHeight="1" x14ac:dyDescent="0.3">
      <c r="A333" s="236"/>
      <c r="F333" s="236"/>
      <c r="N333" s="233"/>
      <c r="P333" s="231"/>
    </row>
    <row r="334" spans="1:16" s="230" customFormat="1" ht="14.7" customHeight="1" x14ac:dyDescent="0.3">
      <c r="A334" s="236"/>
      <c r="F334" s="236"/>
      <c r="N334" s="244"/>
      <c r="P334" s="231"/>
    </row>
    <row r="335" spans="1:16" s="230" customFormat="1" ht="14.7" customHeight="1" x14ac:dyDescent="0.3">
      <c r="F335" s="236"/>
      <c r="N335" s="244"/>
      <c r="P335" s="231"/>
    </row>
    <row r="336" spans="1:16" s="230" customFormat="1" ht="14.7" customHeight="1" x14ac:dyDescent="0.3">
      <c r="A336" s="236"/>
      <c r="F336" s="236"/>
      <c r="N336" s="244"/>
      <c r="P336" s="231"/>
    </row>
    <row r="337" spans="1:16" s="230" customFormat="1" ht="14.7" customHeight="1" x14ac:dyDescent="0.3">
      <c r="A337" s="231"/>
      <c r="F337" s="231"/>
      <c r="N337" s="233"/>
      <c r="P337" s="231"/>
    </row>
    <row r="338" spans="1:16" s="230" customFormat="1" ht="14.7" customHeight="1" x14ac:dyDescent="0.3">
      <c r="A338" s="236"/>
      <c r="F338" s="236"/>
      <c r="N338" s="233"/>
      <c r="P338" s="231"/>
    </row>
    <row r="339" spans="1:16" s="230" customFormat="1" ht="14.7" customHeight="1" x14ac:dyDescent="0.3">
      <c r="F339" s="236"/>
      <c r="N339" s="244"/>
      <c r="P339" s="231"/>
    </row>
    <row r="340" spans="1:16" s="230" customFormat="1" ht="14.7" customHeight="1" x14ac:dyDescent="0.3">
      <c r="F340" s="236"/>
      <c r="N340" s="244"/>
      <c r="P340" s="231"/>
    </row>
    <row r="341" spans="1:16" s="230" customFormat="1" ht="14.7" customHeight="1" x14ac:dyDescent="0.3">
      <c r="A341" s="236"/>
      <c r="F341" s="236"/>
      <c r="N341" s="244"/>
      <c r="P341" s="231"/>
    </row>
    <row r="342" spans="1:16" s="230" customFormat="1" ht="14.7" customHeight="1" x14ac:dyDescent="0.3">
      <c r="A342" s="236"/>
      <c r="F342" s="236"/>
      <c r="N342" s="244"/>
      <c r="P342" s="231"/>
    </row>
    <row r="343" spans="1:16" s="230" customFormat="1" ht="14.7" customHeight="1" x14ac:dyDescent="0.3">
      <c r="F343" s="236"/>
      <c r="N343" s="244"/>
      <c r="P343" s="231"/>
    </row>
    <row r="344" spans="1:16" s="230" customFormat="1" ht="14.7" customHeight="1" x14ac:dyDescent="0.3">
      <c r="A344" s="236"/>
      <c r="F344" s="236"/>
      <c r="N344" s="244"/>
      <c r="P344"/>
    </row>
    <row r="345" spans="1:16" s="230" customFormat="1" ht="14.7" customHeight="1" x14ac:dyDescent="0.3">
      <c r="N345" s="233"/>
    </row>
    <row r="346" spans="1:16" s="230" customFormat="1" ht="14.7" customHeight="1" x14ac:dyDescent="0.3">
      <c r="A346" s="236"/>
      <c r="F346" s="236"/>
      <c r="N346" s="244"/>
      <c r="P346" s="231"/>
    </row>
    <row r="347" spans="1:16" s="230" customFormat="1" ht="14.7" customHeight="1" x14ac:dyDescent="0.3">
      <c r="N347" s="233"/>
      <c r="P347" s="231"/>
    </row>
    <row r="348" spans="1:16" s="230" customFormat="1" ht="14.7" customHeight="1" x14ac:dyDescent="0.3">
      <c r="A348" s="236"/>
      <c r="F348" s="236"/>
      <c r="N348" s="244"/>
      <c r="P348" s="231"/>
    </row>
    <row r="349" spans="1:16" s="230" customFormat="1" ht="14.7" customHeight="1" x14ac:dyDescent="0.3">
      <c r="N349" s="233"/>
      <c r="P349" s="231"/>
    </row>
    <row r="350" spans="1:16" s="230" customFormat="1" ht="14.7" customHeight="1" x14ac:dyDescent="0.3">
      <c r="N350" s="233"/>
      <c r="P350" s="231"/>
    </row>
    <row r="351" spans="1:16" s="230" customFormat="1" ht="14.7" customHeight="1" x14ac:dyDescent="0.3">
      <c r="A351" s="236"/>
      <c r="F351" s="236"/>
      <c r="N351" s="244"/>
      <c r="P351" s="231"/>
    </row>
    <row r="352" spans="1:16" s="230" customFormat="1" ht="14.7" customHeight="1" x14ac:dyDescent="0.3">
      <c r="F352" s="236"/>
      <c r="N352" s="233"/>
      <c r="P352" s="231"/>
    </row>
    <row r="353" spans="1:16" s="230" customFormat="1" ht="14.7" customHeight="1" x14ac:dyDescent="0.3">
      <c r="F353" s="236"/>
      <c r="N353" s="244"/>
      <c r="P353" s="231"/>
    </row>
    <row r="354" spans="1:16" s="230" customFormat="1" ht="14.7" customHeight="1" x14ac:dyDescent="0.3">
      <c r="A354" s="236"/>
      <c r="F354" s="236"/>
      <c r="N354" s="244"/>
      <c r="P354" s="231"/>
    </row>
    <row r="355" spans="1:16" s="230" customFormat="1" ht="14.7" customHeight="1" x14ac:dyDescent="0.3">
      <c r="A355" s="236"/>
      <c r="F355" s="236"/>
      <c r="N355" s="244"/>
      <c r="P355" s="231"/>
    </row>
    <row r="356" spans="1:16" s="230" customFormat="1" ht="14.7" customHeight="1" x14ac:dyDescent="0.3">
      <c r="A356" s="236"/>
      <c r="F356" s="236"/>
      <c r="N356" s="244"/>
      <c r="P356" s="231"/>
    </row>
    <row r="357" spans="1:16" s="230" customFormat="1" ht="14.7" customHeight="1" x14ac:dyDescent="0.3">
      <c r="A357" s="231"/>
      <c r="F357" s="231"/>
      <c r="N357" s="233"/>
      <c r="P357" s="231"/>
    </row>
    <row r="358" spans="1:16" s="230" customFormat="1" ht="14.7" customHeight="1" x14ac:dyDescent="0.3">
      <c r="A358" s="236"/>
      <c r="F358" s="236"/>
      <c r="N358" s="244"/>
      <c r="P358" s="231"/>
    </row>
    <row r="359" spans="1:16" s="230" customFormat="1" ht="14.7" customHeight="1" x14ac:dyDescent="0.3">
      <c r="A359" s="236"/>
      <c r="F359" s="236"/>
      <c r="N359" s="244"/>
      <c r="P359" s="231"/>
    </row>
    <row r="360" spans="1:16" s="230" customFormat="1" ht="14.7" customHeight="1" x14ac:dyDescent="0.3">
      <c r="N360" s="244"/>
    </row>
    <row r="361" spans="1:16" s="230" customFormat="1" ht="14.7" customHeight="1" x14ac:dyDescent="0.3">
      <c r="A361" s="236"/>
      <c r="F361" s="236"/>
      <c r="N361" s="244"/>
      <c r="P361" s="231"/>
    </row>
    <row r="362" spans="1:16" s="230" customFormat="1" ht="14.7" customHeight="1" x14ac:dyDescent="0.3">
      <c r="N362" s="244"/>
      <c r="P362" s="231"/>
    </row>
    <row r="363" spans="1:16" s="230" customFormat="1" ht="14.7" customHeight="1" x14ac:dyDescent="0.3">
      <c r="A363" s="236"/>
      <c r="F363" s="236"/>
      <c r="N363" s="244"/>
      <c r="P363" s="231"/>
    </row>
    <row r="364" spans="1:16" s="230" customFormat="1" x14ac:dyDescent="0.3">
      <c r="F364" s="236"/>
      <c r="N364" s="244"/>
      <c r="P364" s="231"/>
    </row>
    <row r="365" spans="1:16" s="230" customFormat="1" ht="14.7" customHeight="1" x14ac:dyDescent="0.3">
      <c r="A365" s="236"/>
      <c r="F365" s="236"/>
      <c r="N365" s="244"/>
      <c r="P365" s="231"/>
    </row>
    <row r="366" spans="1:16" s="230" customFormat="1" ht="14.7" customHeight="1" x14ac:dyDescent="0.3">
      <c r="F366" s="236"/>
      <c r="N366" s="244"/>
      <c r="P366" s="231"/>
    </row>
    <row r="367" spans="1:16" s="230" customFormat="1" ht="14.7" customHeight="1" x14ac:dyDescent="0.3">
      <c r="F367" s="236"/>
      <c r="N367" s="244"/>
      <c r="P367" s="231"/>
    </row>
    <row r="368" spans="1:16" s="230" customFormat="1" x14ac:dyDescent="0.3">
      <c r="N368" s="233"/>
      <c r="P368" s="231"/>
    </row>
  </sheetData>
  <autoFilter ref="A129:N168" xr:uid="{00000000-0009-0000-0000-000001000000}">
    <sortState xmlns:xlrd2="http://schemas.microsoft.com/office/spreadsheetml/2017/richdata2" ref="A130:N168">
      <sortCondition ref="M129:M168"/>
    </sortState>
  </autoFilter>
  <hyperlinks>
    <hyperlink ref="P4" r:id="rId1" xr:uid="{00000000-0004-0000-0100-000000000000}"/>
    <hyperlink ref="P6" r:id="rId2" xr:uid="{00000000-0004-0000-0100-000001000000}"/>
    <hyperlink ref="P10" r:id="rId3" xr:uid="{00000000-0004-0000-0100-000002000000}"/>
    <hyperlink ref="P20" r:id="rId4" xr:uid="{00000000-0004-0000-0100-000003000000}"/>
    <hyperlink ref="P24" r:id="rId5" xr:uid="{00000000-0004-0000-0100-000004000000}"/>
    <hyperlink ref="P16" r:id="rId6" xr:uid="{00000000-0004-0000-0100-000005000000}"/>
    <hyperlink ref="P34" r:id="rId7" xr:uid="{00000000-0004-0000-0100-000006000000}"/>
    <hyperlink ref="P32" r:id="rId8" xr:uid="{00000000-0004-0000-0100-000007000000}"/>
    <hyperlink ref="P42" r:id="rId9" xr:uid="{00000000-0004-0000-0100-000008000000}"/>
    <hyperlink ref="P65" r:id="rId10" xr:uid="{00000000-0004-0000-0100-000009000000}"/>
    <hyperlink ref="P58" r:id="rId11" xr:uid="{00000000-0004-0000-0100-00000A000000}"/>
    <hyperlink ref="P12" r:id="rId12" xr:uid="{00000000-0004-0000-0100-00000B000000}"/>
    <hyperlink ref="P26" r:id="rId13" xr:uid="{00000000-0004-0000-0100-00000C000000}"/>
    <hyperlink ref="Z26" r:id="rId14" xr:uid="{00000000-0004-0000-0100-00000D000000}"/>
    <hyperlink ref="P38" r:id="rId15" xr:uid="{00000000-0004-0000-0100-00000E000000}"/>
  </hyperlinks>
  <pageMargins left="0.7" right="0.7" top="0.75" bottom="0.75" header="0.3" footer="0.3"/>
  <legacyDrawing r:id="rId1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3:G22"/>
  <sheetViews>
    <sheetView zoomScale="168" zoomScaleNormal="168" workbookViewId="0">
      <selection activeCell="C5" sqref="C5"/>
    </sheetView>
  </sheetViews>
  <sheetFormatPr defaultColWidth="8.77734375" defaultRowHeight="14.4" x14ac:dyDescent="0.3"/>
  <cols>
    <col min="1" max="1" width="36" customWidth="1"/>
    <col min="3" max="3" width="11.6640625" customWidth="1"/>
    <col min="4" max="4" width="20.44140625" customWidth="1"/>
    <col min="5" max="5" width="9.6640625" bestFit="1" customWidth="1"/>
    <col min="6" max="6" width="17.77734375" customWidth="1"/>
    <col min="7" max="7" width="9.6640625" bestFit="1" customWidth="1"/>
  </cols>
  <sheetData>
    <row r="3" spans="1:7" x14ac:dyDescent="0.3">
      <c r="A3" s="181" t="s">
        <v>218</v>
      </c>
      <c r="C3" s="195" t="s">
        <v>215</v>
      </c>
      <c r="D3" s="196" t="s">
        <v>222</v>
      </c>
      <c r="E3" s="181" t="s">
        <v>216</v>
      </c>
      <c r="F3" s="181" t="str">
        <f>+D3</f>
        <v>Year to year change</v>
      </c>
      <c r="G3" s="181" t="s">
        <v>217</v>
      </c>
    </row>
    <row r="4" spans="1:7" x14ac:dyDescent="0.3">
      <c r="D4" s="196" t="s">
        <v>223</v>
      </c>
      <c r="F4" s="196" t="s">
        <v>225</v>
      </c>
    </row>
    <row r="5" spans="1:7" ht="85.2" customHeight="1" x14ac:dyDescent="0.3">
      <c r="A5" t="s">
        <v>208</v>
      </c>
      <c r="C5" s="189" t="e">
        <f>+#REF!</f>
        <v>#REF!</v>
      </c>
      <c r="D5" s="197" t="s">
        <v>226</v>
      </c>
      <c r="E5" s="188" t="e">
        <f>+#REF!+#REF!</f>
        <v>#REF!</v>
      </c>
      <c r="F5" s="198" t="s">
        <v>227</v>
      </c>
      <c r="G5" s="188" t="e">
        <f>+#REF!+#REF!</f>
        <v>#REF!</v>
      </c>
    </row>
    <row r="6" spans="1:7" x14ac:dyDescent="0.3">
      <c r="C6" s="188"/>
      <c r="E6" s="188"/>
      <c r="F6" s="188"/>
      <c r="G6" s="188"/>
    </row>
    <row r="7" spans="1:7" x14ac:dyDescent="0.3">
      <c r="A7" t="s">
        <v>209</v>
      </c>
      <c r="C7" s="188" t="e">
        <f>-'Detailed Support - Middlesex'!M48-#REF!</f>
        <v>#REF!</v>
      </c>
      <c r="D7" s="190"/>
      <c r="E7" s="188" t="e">
        <f>+C7</f>
        <v>#REF!</v>
      </c>
      <c r="F7" s="188"/>
      <c r="G7" s="188" t="e">
        <f>+E7</f>
        <v>#REF!</v>
      </c>
    </row>
    <row r="8" spans="1:7" x14ac:dyDescent="0.3">
      <c r="C8" s="188"/>
      <c r="E8" s="188"/>
      <c r="F8" s="188"/>
      <c r="G8" s="188"/>
    </row>
    <row r="9" spans="1:7" x14ac:dyDescent="0.3">
      <c r="A9" s="181" t="s">
        <v>219</v>
      </c>
      <c r="C9" s="193" t="e">
        <f>+C5+C7</f>
        <v>#REF!</v>
      </c>
      <c r="E9" s="188" t="e">
        <f>+E5+E7</f>
        <v>#REF!</v>
      </c>
      <c r="F9" s="188"/>
      <c r="G9" s="188" t="e">
        <f>+G5+G7</f>
        <v>#REF!</v>
      </c>
    </row>
    <row r="10" spans="1:7" x14ac:dyDescent="0.3">
      <c r="C10" s="188"/>
      <c r="E10" s="188"/>
      <c r="F10" s="188"/>
      <c r="G10" s="188"/>
    </row>
    <row r="11" spans="1:7" ht="31.8" x14ac:dyDescent="0.3">
      <c r="A11" s="181" t="s">
        <v>210</v>
      </c>
      <c r="C11" s="193" t="e">
        <f>+#REF!</f>
        <v>#REF!</v>
      </c>
      <c r="D11" s="197" t="s">
        <v>224</v>
      </c>
      <c r="E11" s="188" t="e">
        <f>+#REF!</f>
        <v>#REF!</v>
      </c>
      <c r="F11" s="198" t="str">
        <f>+D11</f>
        <v>Revenues nil change; 1% increase to wages and 2% to all other expenses</v>
      </c>
      <c r="G11" s="188" t="e">
        <f>+#REF!</f>
        <v>#REF!</v>
      </c>
    </row>
    <row r="12" spans="1:7" x14ac:dyDescent="0.3">
      <c r="C12" s="188"/>
      <c r="E12" s="188"/>
      <c r="F12" s="188"/>
      <c r="G12" s="188"/>
    </row>
    <row r="13" spans="1:7" ht="31.8" x14ac:dyDescent="0.3">
      <c r="A13" s="181" t="s">
        <v>211</v>
      </c>
      <c r="C13" s="193" t="e">
        <f>+#REF!</f>
        <v>#REF!</v>
      </c>
      <c r="D13" s="197" t="s">
        <v>224</v>
      </c>
      <c r="E13" s="188" t="e">
        <f>+#REF!</f>
        <v>#REF!</v>
      </c>
      <c r="F13" s="198" t="str">
        <f>+F11</f>
        <v>Revenues nil change; 1% increase to wages and 2% to all other expenses</v>
      </c>
      <c r="G13" s="188" t="e">
        <f>+#REF!</f>
        <v>#REF!</v>
      </c>
    </row>
    <row r="14" spans="1:7" x14ac:dyDescent="0.3">
      <c r="C14" s="188"/>
      <c r="E14" s="188"/>
      <c r="F14" s="188"/>
      <c r="G14" s="188"/>
    </row>
    <row r="15" spans="1:7" ht="57.45" customHeight="1" thickBot="1" x14ac:dyDescent="0.35">
      <c r="A15" s="181" t="s">
        <v>220</v>
      </c>
      <c r="C15" s="194" t="e">
        <f>+C9+C11+C13</f>
        <v>#REF!</v>
      </c>
      <c r="E15" s="194" t="e">
        <f>+E9+E11+E13</f>
        <v>#REF!</v>
      </c>
      <c r="F15" s="198" t="s">
        <v>228</v>
      </c>
      <c r="G15" s="194" t="e">
        <f>+G9+G11+G13</f>
        <v>#REF!</v>
      </c>
    </row>
    <row r="16" spans="1:7" x14ac:dyDescent="0.3">
      <c r="C16" s="188"/>
      <c r="F16" t="s">
        <v>229</v>
      </c>
    </row>
    <row r="17" spans="1:7" x14ac:dyDescent="0.3">
      <c r="A17" s="191" t="s">
        <v>221</v>
      </c>
      <c r="C17" s="188"/>
    </row>
    <row r="18" spans="1:7" x14ac:dyDescent="0.3">
      <c r="C18" s="188"/>
    </row>
    <row r="19" spans="1:7" ht="43.2" x14ac:dyDescent="0.3">
      <c r="A19" s="190" t="s">
        <v>213</v>
      </c>
      <c r="C19" s="193" t="e">
        <f>(+#REF!+#REF!+#REF!+#REF!+#REF!+#REF!+#REF!+#REF!+#REF!)*0.02</f>
        <v>#REF!</v>
      </c>
      <c r="E19" s="188" t="e">
        <f>+C19</f>
        <v>#REF!</v>
      </c>
      <c r="G19" s="188" t="e">
        <f>+E19</f>
        <v>#REF!</v>
      </c>
    </row>
    <row r="20" spans="1:7" x14ac:dyDescent="0.3">
      <c r="C20" s="188"/>
    </row>
    <row r="21" spans="1:7" ht="28.8" x14ac:dyDescent="0.3">
      <c r="A21" s="190" t="s">
        <v>212</v>
      </c>
      <c r="C21" s="192" t="s">
        <v>214</v>
      </c>
    </row>
    <row r="22" spans="1:7" x14ac:dyDescent="0.3">
      <c r="C22" s="188"/>
    </row>
  </sheetData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31"/>
  <sheetViews>
    <sheetView workbookViewId="0">
      <selection activeCell="C24" sqref="C24"/>
    </sheetView>
  </sheetViews>
  <sheetFormatPr defaultColWidth="8.77734375" defaultRowHeight="14.4" x14ac:dyDescent="0.3"/>
  <cols>
    <col min="1" max="1" width="10.33203125" bestFit="1" customWidth="1"/>
    <col min="3" max="3" width="32.33203125" customWidth="1"/>
    <col min="4" max="4" width="17.44140625" customWidth="1"/>
    <col min="5" max="5" width="11.6640625" customWidth="1"/>
    <col min="6" max="6" width="32" customWidth="1"/>
    <col min="7" max="7" width="20.44140625" customWidth="1"/>
  </cols>
  <sheetData>
    <row r="1" spans="1:9" x14ac:dyDescent="0.3">
      <c r="A1" t="s">
        <v>168</v>
      </c>
    </row>
    <row r="2" spans="1:9" x14ac:dyDescent="0.3">
      <c r="A2" t="s">
        <v>169</v>
      </c>
    </row>
    <row r="5" spans="1:9" x14ac:dyDescent="0.3">
      <c r="A5" s="91" t="s">
        <v>170</v>
      </c>
      <c r="B5" s="91" t="s">
        <v>171</v>
      </c>
      <c r="C5" s="91" t="s">
        <v>178</v>
      </c>
      <c r="D5" s="91" t="s">
        <v>172</v>
      </c>
      <c r="E5" s="91" t="s">
        <v>173</v>
      </c>
      <c r="F5" s="91" t="s">
        <v>174</v>
      </c>
      <c r="G5" s="91" t="s">
        <v>175</v>
      </c>
      <c r="H5" s="91" t="s">
        <v>176</v>
      </c>
      <c r="I5" s="91" t="s">
        <v>177</v>
      </c>
    </row>
    <row r="6" spans="1:9" ht="28.8" x14ac:dyDescent="0.3">
      <c r="A6" s="93">
        <v>43879</v>
      </c>
      <c r="B6" s="92" t="s">
        <v>179</v>
      </c>
      <c r="C6" s="92" t="s">
        <v>180</v>
      </c>
      <c r="D6" s="92" t="s">
        <v>181</v>
      </c>
      <c r="E6" s="92" t="s">
        <v>182</v>
      </c>
      <c r="F6" s="92" t="s">
        <v>183</v>
      </c>
      <c r="G6" s="92"/>
      <c r="H6" s="92"/>
      <c r="I6" s="92"/>
    </row>
    <row r="7" spans="1:9" ht="28.8" x14ac:dyDescent="0.3">
      <c r="A7" s="93">
        <v>43879</v>
      </c>
      <c r="B7" s="92" t="s">
        <v>179</v>
      </c>
      <c r="C7" s="92" t="s">
        <v>180</v>
      </c>
      <c r="D7" s="92" t="s">
        <v>184</v>
      </c>
      <c r="E7" s="92" t="s">
        <v>182</v>
      </c>
      <c r="F7" s="92" t="s">
        <v>185</v>
      </c>
      <c r="G7" s="92"/>
      <c r="H7" s="92"/>
      <c r="I7" s="92"/>
    </row>
    <row r="8" spans="1:9" ht="72" x14ac:dyDescent="0.3">
      <c r="A8" s="93">
        <v>43879</v>
      </c>
      <c r="B8" s="92" t="s">
        <v>179</v>
      </c>
      <c r="C8" s="92" t="s">
        <v>180</v>
      </c>
      <c r="D8" s="92" t="s">
        <v>184</v>
      </c>
      <c r="E8" s="92"/>
      <c r="F8" s="92" t="s">
        <v>186</v>
      </c>
      <c r="G8" s="92"/>
      <c r="H8" s="92"/>
      <c r="I8" s="92"/>
    </row>
    <row r="9" spans="1:9" ht="57.6" x14ac:dyDescent="0.3">
      <c r="A9" s="93">
        <v>43879</v>
      </c>
      <c r="B9" s="92" t="s">
        <v>179</v>
      </c>
      <c r="C9" s="92" t="s">
        <v>180</v>
      </c>
      <c r="D9" s="92" t="s">
        <v>187</v>
      </c>
      <c r="E9" s="92"/>
      <c r="F9" s="92" t="s">
        <v>188</v>
      </c>
      <c r="G9" s="92"/>
      <c r="H9" s="92"/>
      <c r="I9" s="92"/>
    </row>
    <row r="10" spans="1:9" x14ac:dyDescent="0.3">
      <c r="A10" s="93"/>
      <c r="B10" s="92"/>
      <c r="C10" s="92"/>
      <c r="D10" s="92"/>
      <c r="E10" s="92"/>
      <c r="F10" s="92"/>
      <c r="G10" s="92"/>
      <c r="H10" s="92"/>
      <c r="I10" s="92"/>
    </row>
    <row r="11" spans="1:9" x14ac:dyDescent="0.3">
      <c r="A11" s="93"/>
      <c r="B11" s="92"/>
      <c r="C11" s="92"/>
      <c r="D11" s="92"/>
      <c r="E11" s="92"/>
      <c r="F11" s="92"/>
      <c r="G11" s="92"/>
      <c r="H11" s="92"/>
      <c r="I11" s="92"/>
    </row>
    <row r="12" spans="1:9" x14ac:dyDescent="0.3">
      <c r="A12" s="93"/>
      <c r="B12" s="92"/>
      <c r="C12" s="92"/>
      <c r="D12" s="92"/>
      <c r="E12" s="92"/>
      <c r="F12" s="92"/>
      <c r="G12" s="92"/>
      <c r="H12" s="92"/>
      <c r="I12" s="92"/>
    </row>
    <row r="13" spans="1:9" x14ac:dyDescent="0.3">
      <c r="A13" s="93"/>
      <c r="B13" s="92"/>
      <c r="C13" s="92"/>
      <c r="D13" s="92"/>
      <c r="E13" s="92"/>
      <c r="F13" s="92"/>
      <c r="G13" s="92"/>
      <c r="H13" s="92"/>
      <c r="I13" s="92"/>
    </row>
    <row r="14" spans="1:9" x14ac:dyDescent="0.3">
      <c r="A14" s="93"/>
      <c r="B14" s="92"/>
      <c r="C14" s="92"/>
      <c r="D14" s="92"/>
      <c r="E14" s="92"/>
      <c r="F14" s="92"/>
      <c r="G14" s="92"/>
      <c r="H14" s="92"/>
      <c r="I14" s="92"/>
    </row>
    <row r="15" spans="1:9" x14ac:dyDescent="0.3">
      <c r="A15" s="93"/>
      <c r="B15" s="92"/>
      <c r="C15" s="92"/>
      <c r="D15" s="92"/>
      <c r="E15" s="92"/>
      <c r="F15" s="92"/>
      <c r="G15" s="92"/>
      <c r="H15" s="92"/>
      <c r="I15" s="92"/>
    </row>
    <row r="16" spans="1:9" x14ac:dyDescent="0.3">
      <c r="A16" s="93"/>
      <c r="B16" s="92"/>
      <c r="C16" s="92"/>
      <c r="D16" s="92"/>
      <c r="E16" s="92"/>
      <c r="F16" s="92"/>
      <c r="G16" s="92"/>
      <c r="H16" s="92"/>
      <c r="I16" s="92"/>
    </row>
    <row r="17" spans="1:9" x14ac:dyDescent="0.3">
      <c r="A17" s="93"/>
      <c r="B17" s="92"/>
      <c r="C17" s="92"/>
      <c r="D17" s="92"/>
      <c r="E17" s="92"/>
      <c r="F17" s="92"/>
      <c r="G17" s="92"/>
      <c r="H17" s="92"/>
      <c r="I17" s="92"/>
    </row>
    <row r="18" spans="1:9" x14ac:dyDescent="0.3">
      <c r="A18" s="93"/>
      <c r="B18" s="92"/>
      <c r="C18" s="92"/>
      <c r="D18" s="92"/>
      <c r="E18" s="92"/>
      <c r="F18" s="92"/>
      <c r="G18" s="92"/>
      <c r="H18" s="92"/>
      <c r="I18" s="92"/>
    </row>
    <row r="19" spans="1:9" x14ac:dyDescent="0.3">
      <c r="A19" s="93"/>
      <c r="B19" s="92"/>
      <c r="C19" s="92"/>
      <c r="D19" s="92"/>
      <c r="E19" s="92"/>
      <c r="F19" s="92"/>
      <c r="G19" s="92"/>
      <c r="H19" s="92"/>
      <c r="I19" s="92"/>
    </row>
    <row r="20" spans="1:9" x14ac:dyDescent="0.3">
      <c r="A20" s="93"/>
      <c r="B20" s="92"/>
      <c r="C20" s="92"/>
      <c r="D20" s="92"/>
      <c r="E20" s="92"/>
      <c r="F20" s="92"/>
      <c r="G20" s="92"/>
      <c r="H20" s="92"/>
      <c r="I20" s="92"/>
    </row>
    <row r="21" spans="1:9" x14ac:dyDescent="0.3">
      <c r="A21" s="93"/>
      <c r="B21" s="92"/>
      <c r="C21" s="92"/>
      <c r="D21" s="92"/>
      <c r="E21" s="92"/>
      <c r="F21" s="92"/>
      <c r="G21" s="92"/>
      <c r="H21" s="92"/>
      <c r="I21" s="92"/>
    </row>
    <row r="22" spans="1:9" x14ac:dyDescent="0.3">
      <c r="A22" s="93"/>
      <c r="B22" s="92"/>
      <c r="C22" s="92"/>
      <c r="D22" s="92"/>
      <c r="E22" s="92"/>
      <c r="F22" s="92"/>
      <c r="G22" s="92"/>
      <c r="H22" s="92"/>
      <c r="I22" s="92"/>
    </row>
    <row r="23" spans="1:9" x14ac:dyDescent="0.3">
      <c r="A23" s="93"/>
      <c r="B23" s="92"/>
      <c r="C23" s="92"/>
      <c r="D23" s="92"/>
      <c r="E23" s="92"/>
      <c r="F23" s="92"/>
      <c r="G23" s="92"/>
      <c r="H23" s="92"/>
      <c r="I23" s="92"/>
    </row>
    <row r="24" spans="1:9" x14ac:dyDescent="0.3">
      <c r="A24" s="93"/>
      <c r="B24" s="92"/>
      <c r="C24" s="92"/>
      <c r="D24" s="92"/>
      <c r="E24" s="92"/>
      <c r="F24" s="92"/>
      <c r="G24" s="92"/>
      <c r="H24" s="92"/>
      <c r="I24" s="92"/>
    </row>
    <row r="25" spans="1:9" x14ac:dyDescent="0.3">
      <c r="A25" s="93"/>
      <c r="B25" s="92"/>
      <c r="C25" s="92"/>
      <c r="D25" s="92"/>
      <c r="E25" s="92"/>
      <c r="F25" s="92"/>
      <c r="G25" s="92"/>
      <c r="H25" s="92"/>
      <c r="I25" s="92"/>
    </row>
    <row r="26" spans="1:9" x14ac:dyDescent="0.3">
      <c r="A26" s="93"/>
      <c r="B26" s="92"/>
      <c r="C26" s="92"/>
      <c r="D26" s="92"/>
      <c r="E26" s="92"/>
      <c r="F26" s="92"/>
      <c r="G26" s="92"/>
      <c r="H26" s="92"/>
      <c r="I26" s="92"/>
    </row>
    <row r="27" spans="1:9" x14ac:dyDescent="0.3">
      <c r="A27" s="93"/>
      <c r="B27" s="92"/>
      <c r="C27" s="92"/>
      <c r="D27" s="92"/>
      <c r="E27" s="92"/>
      <c r="F27" s="92"/>
      <c r="G27" s="92"/>
      <c r="H27" s="92"/>
      <c r="I27" s="92"/>
    </row>
    <row r="28" spans="1:9" x14ac:dyDescent="0.3">
      <c r="A28" s="93"/>
      <c r="B28" s="92"/>
      <c r="C28" s="92"/>
      <c r="D28" s="92"/>
      <c r="E28" s="92"/>
      <c r="F28" s="92"/>
      <c r="G28" s="92"/>
      <c r="H28" s="92"/>
      <c r="I28" s="92"/>
    </row>
    <row r="29" spans="1:9" x14ac:dyDescent="0.3">
      <c r="A29" s="93"/>
      <c r="B29" s="92"/>
      <c r="C29" s="92"/>
      <c r="D29" s="92"/>
      <c r="E29" s="92"/>
      <c r="F29" s="92"/>
      <c r="G29" s="92"/>
      <c r="H29" s="92"/>
      <c r="I29" s="92"/>
    </row>
    <row r="30" spans="1:9" x14ac:dyDescent="0.3">
      <c r="A30" s="93"/>
      <c r="B30" s="92"/>
      <c r="C30" s="92"/>
      <c r="D30" s="92"/>
      <c r="E30" s="92"/>
      <c r="F30" s="92"/>
      <c r="G30" s="92"/>
      <c r="H30" s="92"/>
      <c r="I30" s="92"/>
    </row>
    <row r="31" spans="1:9" x14ac:dyDescent="0.3">
      <c r="A31" s="93"/>
      <c r="B31" s="92"/>
      <c r="C31" s="92"/>
      <c r="D31" s="92"/>
      <c r="E31" s="92"/>
      <c r="F31" s="92"/>
      <c r="G31" s="92"/>
      <c r="H31" s="92"/>
      <c r="I31" s="92"/>
    </row>
  </sheetData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&amp;L&amp;D  &amp;T&amp;C&amp;P&amp;R&amp;F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68"/>
  <sheetViews>
    <sheetView topLeftCell="A140" zoomScale="77" zoomScaleNormal="77" workbookViewId="0">
      <selection activeCell="O172" sqref="O172"/>
    </sheetView>
  </sheetViews>
  <sheetFormatPr defaultColWidth="8.77734375" defaultRowHeight="14.4" x14ac:dyDescent="0.3"/>
  <cols>
    <col min="1" max="1" width="18.6640625" customWidth="1"/>
    <col min="2" max="2" width="50.44140625" bestFit="1" customWidth="1"/>
    <col min="3" max="3" width="12.6640625" hidden="1" customWidth="1"/>
    <col min="4" max="4" width="0" hidden="1" customWidth="1"/>
    <col min="5" max="5" width="37" hidden="1" customWidth="1"/>
    <col min="6" max="6" width="0" hidden="1" customWidth="1"/>
    <col min="7" max="7" width="33.44140625" hidden="1" customWidth="1"/>
    <col min="8" max="8" width="18" hidden="1" customWidth="1"/>
    <col min="10" max="10" width="31.6640625" customWidth="1"/>
    <col min="11" max="11" width="19.6640625" hidden="1" customWidth="1"/>
    <col min="13" max="13" width="36.6640625" customWidth="1"/>
    <col min="14" max="14" width="14.6640625" style="226" customWidth="1"/>
    <col min="15" max="15" width="12" bestFit="1" customWidth="1"/>
    <col min="16" max="16" width="15" customWidth="1"/>
    <col min="17" max="17" width="10.6640625" bestFit="1" customWidth="1"/>
  </cols>
  <sheetData>
    <row r="1" spans="1:16" s="230" customFormat="1" x14ac:dyDescent="0.3">
      <c r="A1" s="227" t="s">
        <v>2523</v>
      </c>
      <c r="B1" s="227" t="s">
        <v>2524</v>
      </c>
      <c r="C1" s="227" t="s">
        <v>2525</v>
      </c>
      <c r="D1" s="227" t="s">
        <v>2526</v>
      </c>
      <c r="E1" s="227" t="s">
        <v>2527</v>
      </c>
      <c r="F1" s="227" t="s">
        <v>2528</v>
      </c>
      <c r="G1" s="227" t="s">
        <v>2529</v>
      </c>
      <c r="H1" s="227" t="s">
        <v>2530</v>
      </c>
      <c r="I1" s="227" t="s">
        <v>2531</v>
      </c>
      <c r="J1" s="227" t="s">
        <v>2532</v>
      </c>
      <c r="K1" s="227" t="s">
        <v>2533</v>
      </c>
      <c r="L1" s="227" t="s">
        <v>2534</v>
      </c>
      <c r="M1" s="227" t="s">
        <v>2535</v>
      </c>
      <c r="N1" s="228" t="s">
        <v>2536</v>
      </c>
      <c r="O1" s="229" t="s">
        <v>2537</v>
      </c>
      <c r="P1" s="229" t="s">
        <v>2538</v>
      </c>
    </row>
    <row r="2" spans="1:16" s="230" customFormat="1" x14ac:dyDescent="0.3">
      <c r="A2" s="231" t="s">
        <v>242</v>
      </c>
      <c r="B2" s="230" t="s">
        <v>245</v>
      </c>
      <c r="C2" s="230" t="s">
        <v>243</v>
      </c>
      <c r="D2" s="230" t="s">
        <v>2539</v>
      </c>
      <c r="E2" s="230" t="s">
        <v>2540</v>
      </c>
      <c r="F2" s="231">
        <v>4010</v>
      </c>
      <c r="G2" s="230" t="s">
        <v>2521</v>
      </c>
      <c r="H2" s="230" t="s">
        <v>2541</v>
      </c>
      <c r="I2" s="230">
        <v>1100</v>
      </c>
      <c r="J2" s="230" t="s">
        <v>2542</v>
      </c>
      <c r="K2" s="230" t="s">
        <v>125</v>
      </c>
      <c r="L2" s="230">
        <v>4000</v>
      </c>
      <c r="M2" s="230" t="s">
        <v>125</v>
      </c>
      <c r="N2" s="232">
        <f>-'[3]Payment Notice - Middlesex'!X9</f>
        <v>-16746681</v>
      </c>
      <c r="O2" s="230" t="s">
        <v>2543</v>
      </c>
      <c r="P2" s="229" t="s">
        <v>2544</v>
      </c>
    </row>
    <row r="3" spans="1:16" s="230" customFormat="1" ht="14.7" customHeight="1" x14ac:dyDescent="0.3">
      <c r="A3" s="231" t="s">
        <v>242</v>
      </c>
      <c r="B3" s="230" t="s">
        <v>245</v>
      </c>
      <c r="C3" s="230" t="s">
        <v>243</v>
      </c>
      <c r="D3" s="230" t="s">
        <v>2539</v>
      </c>
      <c r="E3" s="230" t="s">
        <v>2540</v>
      </c>
      <c r="F3" s="231">
        <v>4010</v>
      </c>
      <c r="G3" s="230" t="s">
        <v>2521</v>
      </c>
      <c r="H3" s="230" t="s">
        <v>2541</v>
      </c>
      <c r="I3" s="230">
        <v>1100</v>
      </c>
      <c r="J3" s="230" t="s">
        <v>2542</v>
      </c>
      <c r="K3" s="230" t="s">
        <v>125</v>
      </c>
      <c r="L3" s="230">
        <v>4000</v>
      </c>
      <c r="M3" s="230" t="s">
        <v>125</v>
      </c>
      <c r="N3" s="233">
        <v>-16465853</v>
      </c>
      <c r="O3" s="230" t="s">
        <v>2545</v>
      </c>
      <c r="P3" s="231"/>
    </row>
    <row r="4" spans="1:16" s="230" customFormat="1" ht="14.7" customHeight="1" x14ac:dyDescent="0.3">
      <c r="A4" s="230" t="s">
        <v>286</v>
      </c>
      <c r="B4" s="230" t="s">
        <v>288</v>
      </c>
      <c r="E4" s="230" t="s">
        <v>2540</v>
      </c>
      <c r="F4" s="230">
        <v>4010</v>
      </c>
      <c r="G4" s="230" t="s">
        <v>2521</v>
      </c>
      <c r="H4" s="230" t="s">
        <v>2546</v>
      </c>
      <c r="I4" s="230">
        <v>4500</v>
      </c>
      <c r="J4" s="230" t="s">
        <v>2547</v>
      </c>
      <c r="K4" s="230" t="s">
        <v>2548</v>
      </c>
      <c r="L4" s="230">
        <v>5600</v>
      </c>
      <c r="M4" s="230" t="s">
        <v>2548</v>
      </c>
      <c r="N4" s="234">
        <v>-2595522</v>
      </c>
      <c r="O4" s="230" t="s">
        <v>2543</v>
      </c>
      <c r="P4" s="235" t="s">
        <v>2549</v>
      </c>
    </row>
    <row r="5" spans="1:16" s="230" customFormat="1" ht="14.7" customHeight="1" x14ac:dyDescent="0.3">
      <c r="A5" s="230" t="s">
        <v>286</v>
      </c>
      <c r="B5" s="230" t="s">
        <v>288</v>
      </c>
      <c r="E5" s="230" t="s">
        <v>2540</v>
      </c>
      <c r="F5" s="230">
        <v>4010</v>
      </c>
      <c r="G5" s="230" t="s">
        <v>2521</v>
      </c>
      <c r="H5" s="230" t="s">
        <v>2546</v>
      </c>
      <c r="I5" s="230">
        <v>4500</v>
      </c>
      <c r="J5" s="230" t="s">
        <v>2547</v>
      </c>
      <c r="K5" s="230" t="s">
        <v>2548</v>
      </c>
      <c r="L5" s="230">
        <v>5600</v>
      </c>
      <c r="M5" s="230" t="s">
        <v>2548</v>
      </c>
      <c r="N5" s="233">
        <v>-2537600</v>
      </c>
      <c r="O5" s="230" t="s">
        <v>2545</v>
      </c>
      <c r="P5" s="231"/>
    </row>
    <row r="6" spans="1:16" s="230" customFormat="1" ht="14.7" customHeight="1" x14ac:dyDescent="0.3">
      <c r="A6" s="230" t="s">
        <v>282</v>
      </c>
      <c r="B6" s="230" t="s">
        <v>2550</v>
      </c>
      <c r="C6" s="230" t="s">
        <v>243</v>
      </c>
      <c r="D6" s="230" t="s">
        <v>2539</v>
      </c>
      <c r="E6" s="230" t="s">
        <v>2540</v>
      </c>
      <c r="F6" s="236">
        <v>4010</v>
      </c>
      <c r="G6" s="230" t="s">
        <v>2521</v>
      </c>
      <c r="H6" s="230" t="s">
        <v>2551</v>
      </c>
      <c r="I6" s="230">
        <v>4420</v>
      </c>
      <c r="J6" s="230" t="s">
        <v>2552</v>
      </c>
      <c r="K6" s="230" t="s">
        <v>125</v>
      </c>
      <c r="L6" s="230">
        <v>4100</v>
      </c>
      <c r="M6" s="230" t="s">
        <v>125</v>
      </c>
      <c r="N6" s="232">
        <v>-718000</v>
      </c>
      <c r="O6" s="230" t="s">
        <v>2543</v>
      </c>
      <c r="P6" s="235" t="s">
        <v>2553</v>
      </c>
    </row>
    <row r="7" spans="1:16" s="230" customFormat="1" ht="14.7" customHeight="1" x14ac:dyDescent="0.3">
      <c r="A7" s="230" t="s">
        <v>282</v>
      </c>
      <c r="B7" s="230" t="s">
        <v>2550</v>
      </c>
      <c r="C7" s="230" t="s">
        <v>243</v>
      </c>
      <c r="D7" s="230" t="s">
        <v>2539</v>
      </c>
      <c r="E7" s="230" t="s">
        <v>2540</v>
      </c>
      <c r="F7" s="236">
        <v>4010</v>
      </c>
      <c r="G7" s="230" t="s">
        <v>2521</v>
      </c>
      <c r="H7" s="230" t="s">
        <v>2551</v>
      </c>
      <c r="I7" s="230">
        <v>4420</v>
      </c>
      <c r="J7" s="230" t="s">
        <v>2552</v>
      </c>
      <c r="K7" s="230" t="s">
        <v>125</v>
      </c>
      <c r="L7" s="230">
        <v>4100</v>
      </c>
      <c r="M7" s="230" t="s">
        <v>125</v>
      </c>
      <c r="N7" s="233">
        <v>-718000</v>
      </c>
      <c r="O7" s="230" t="s">
        <v>2545</v>
      </c>
      <c r="P7" s="231"/>
    </row>
    <row r="8" spans="1:16" s="230" customFormat="1" ht="14.7" customHeight="1" x14ac:dyDescent="0.3">
      <c r="A8" s="231" t="s">
        <v>437</v>
      </c>
      <c r="B8" s="230" t="s">
        <v>2554</v>
      </c>
      <c r="E8" s="230" t="s">
        <v>2555</v>
      </c>
      <c r="F8" s="231">
        <v>4200</v>
      </c>
      <c r="G8" s="230" t="s">
        <v>433</v>
      </c>
      <c r="H8" s="230" t="s">
        <v>2556</v>
      </c>
      <c r="I8" s="230">
        <v>3110</v>
      </c>
      <c r="J8" s="230" t="s">
        <v>2557</v>
      </c>
      <c r="K8" s="230" t="s">
        <v>433</v>
      </c>
      <c r="L8" s="230">
        <v>2000</v>
      </c>
      <c r="M8" s="230" t="s">
        <v>2558</v>
      </c>
      <c r="N8" s="234">
        <f>-129000-896886-96000</f>
        <v>-1121886</v>
      </c>
      <c r="O8" s="230" t="s">
        <v>2543</v>
      </c>
      <c r="P8" s="230" t="s">
        <v>2559</v>
      </c>
    </row>
    <row r="9" spans="1:16" s="230" customFormat="1" ht="14.7" customHeight="1" x14ac:dyDescent="0.3">
      <c r="A9" s="231" t="s">
        <v>437</v>
      </c>
      <c r="B9" s="230" t="s">
        <v>2554</v>
      </c>
      <c r="E9" s="230" t="s">
        <v>2555</v>
      </c>
      <c r="F9" s="231">
        <v>4200</v>
      </c>
      <c r="G9" s="230" t="s">
        <v>433</v>
      </c>
      <c r="H9" s="230" t="s">
        <v>2556</v>
      </c>
      <c r="I9" s="230">
        <v>3110</v>
      </c>
      <c r="J9" s="230" t="s">
        <v>2557</v>
      </c>
      <c r="K9" s="230" t="s">
        <v>433</v>
      </c>
      <c r="L9" s="230">
        <v>2000</v>
      </c>
      <c r="M9" s="230" t="s">
        <v>2558</v>
      </c>
      <c r="N9" s="233">
        <v>-713720</v>
      </c>
      <c r="O9" s="230" t="s">
        <v>2545</v>
      </c>
      <c r="P9" s="231"/>
    </row>
    <row r="10" spans="1:16" s="230" customFormat="1" ht="14.7" customHeight="1" x14ac:dyDescent="0.3">
      <c r="A10" s="230" t="s">
        <v>333</v>
      </c>
      <c r="B10" s="230" t="s">
        <v>334</v>
      </c>
      <c r="E10" s="230" t="s">
        <v>2560</v>
      </c>
      <c r="F10" s="230">
        <v>4110</v>
      </c>
      <c r="G10" s="230" t="s">
        <v>2561</v>
      </c>
      <c r="H10" s="230" t="s">
        <v>2546</v>
      </c>
      <c r="I10" s="230">
        <v>4500</v>
      </c>
      <c r="J10" s="230" t="s">
        <v>2547</v>
      </c>
      <c r="K10" s="230" t="s">
        <v>2548</v>
      </c>
      <c r="L10" s="230">
        <v>5600</v>
      </c>
      <c r="M10" s="230" t="s">
        <v>2548</v>
      </c>
      <c r="N10" s="232">
        <f>-(689277-11528)</f>
        <v>-677749</v>
      </c>
      <c r="O10" s="230" t="s">
        <v>2543</v>
      </c>
      <c r="P10" s="235" t="s">
        <v>2549</v>
      </c>
    </row>
    <row r="11" spans="1:16" s="230" customFormat="1" ht="14.7" customHeight="1" x14ac:dyDescent="0.3">
      <c r="A11" s="230" t="s">
        <v>333</v>
      </c>
      <c r="B11" s="230" t="s">
        <v>334</v>
      </c>
      <c r="E11" s="230" t="s">
        <v>2560</v>
      </c>
      <c r="F11" s="230">
        <v>4110</v>
      </c>
      <c r="G11" s="230" t="s">
        <v>2561</v>
      </c>
      <c r="H11" s="230" t="s">
        <v>2546</v>
      </c>
      <c r="I11" s="230">
        <v>4500</v>
      </c>
      <c r="J11" s="230" t="s">
        <v>2547</v>
      </c>
      <c r="K11" s="230" t="s">
        <v>2548</v>
      </c>
      <c r="L11" s="230">
        <v>5600</v>
      </c>
      <c r="M11" s="230" t="s">
        <v>2548</v>
      </c>
      <c r="N11" s="233">
        <v>-677750</v>
      </c>
      <c r="O11" s="230" t="s">
        <v>2545</v>
      </c>
      <c r="P11" s="230" t="s">
        <v>2562</v>
      </c>
    </row>
    <row r="12" spans="1:16" s="230" customFormat="1" ht="14.7" customHeight="1" x14ac:dyDescent="0.3">
      <c r="A12" s="236" t="s">
        <v>262</v>
      </c>
      <c r="B12" s="230" t="s">
        <v>265</v>
      </c>
      <c r="E12" s="230" t="s">
        <v>2540</v>
      </c>
      <c r="F12" s="236">
        <v>4010</v>
      </c>
      <c r="G12" s="230" t="s">
        <v>2521</v>
      </c>
      <c r="H12" s="230" t="s">
        <v>2563</v>
      </c>
      <c r="I12" s="230">
        <v>4100</v>
      </c>
      <c r="J12" s="230" t="s">
        <v>2564</v>
      </c>
      <c r="K12" s="230" t="s">
        <v>2565</v>
      </c>
      <c r="L12" s="230">
        <v>5410</v>
      </c>
      <c r="M12" s="230" t="s">
        <v>2566</v>
      </c>
      <c r="N12" s="234">
        <v>-568895</v>
      </c>
      <c r="O12" s="230" t="s">
        <v>2543</v>
      </c>
      <c r="P12" s="235" t="s">
        <v>2567</v>
      </c>
    </row>
    <row r="13" spans="1:16" s="230" customFormat="1" ht="14.7" customHeight="1" x14ac:dyDescent="0.3">
      <c r="A13" s="236" t="s">
        <v>262</v>
      </c>
      <c r="B13" s="230" t="s">
        <v>265</v>
      </c>
      <c r="E13" s="230" t="s">
        <v>2540</v>
      </c>
      <c r="F13" s="236">
        <v>4010</v>
      </c>
      <c r="G13" s="230" t="s">
        <v>2521</v>
      </c>
      <c r="H13" s="230" t="s">
        <v>2563</v>
      </c>
      <c r="I13" s="230">
        <v>4100</v>
      </c>
      <c r="J13" s="230" t="s">
        <v>2564</v>
      </c>
      <c r="K13" s="230" t="s">
        <v>2565</v>
      </c>
      <c r="L13" s="230">
        <v>5410</v>
      </c>
      <c r="M13" s="230" t="s">
        <v>2566</v>
      </c>
      <c r="N13" s="233">
        <v>-556200</v>
      </c>
      <c r="O13" s="230" t="s">
        <v>2545</v>
      </c>
      <c r="P13" s="231"/>
    </row>
    <row r="14" spans="1:16" s="230" customFormat="1" ht="14.7" customHeight="1" x14ac:dyDescent="0.3">
      <c r="A14" s="231" t="s">
        <v>2510</v>
      </c>
      <c r="B14" s="230" t="s">
        <v>2511</v>
      </c>
      <c r="C14" s="230" t="s">
        <v>243</v>
      </c>
      <c r="D14" s="230" t="s">
        <v>2539</v>
      </c>
      <c r="E14" s="230" t="s">
        <v>2568</v>
      </c>
      <c r="F14" s="231">
        <v>7000</v>
      </c>
      <c r="G14" s="230" t="s">
        <v>2511</v>
      </c>
      <c r="H14" s="230" t="s">
        <v>2569</v>
      </c>
      <c r="I14" s="230">
        <v>2000</v>
      </c>
      <c r="J14" s="230" t="s">
        <v>2570</v>
      </c>
      <c r="K14" s="230" t="s">
        <v>125</v>
      </c>
      <c r="L14" s="230">
        <v>4000</v>
      </c>
      <c r="M14" s="230" t="s">
        <v>125</v>
      </c>
      <c r="N14" s="232">
        <v>-568052</v>
      </c>
      <c r="O14" s="230" t="s">
        <v>2543</v>
      </c>
      <c r="P14" s="230" t="s">
        <v>2571</v>
      </c>
    </row>
    <row r="15" spans="1:16" s="230" customFormat="1" ht="14.7" customHeight="1" x14ac:dyDescent="0.3">
      <c r="A15" s="231" t="s">
        <v>2510</v>
      </c>
      <c r="B15" s="230" t="s">
        <v>2511</v>
      </c>
      <c r="C15" s="230" t="s">
        <v>243</v>
      </c>
      <c r="D15" s="230" t="s">
        <v>2539</v>
      </c>
      <c r="E15" s="230" t="s">
        <v>2568</v>
      </c>
      <c r="F15" s="231">
        <v>7000</v>
      </c>
      <c r="G15" s="230" t="s">
        <v>2511</v>
      </c>
      <c r="H15" s="230" t="s">
        <v>2569</v>
      </c>
      <c r="I15" s="230">
        <v>2000</v>
      </c>
      <c r="J15" s="230" t="s">
        <v>2570</v>
      </c>
      <c r="K15" s="230" t="s">
        <v>125</v>
      </c>
      <c r="L15" s="230">
        <v>4000</v>
      </c>
      <c r="M15" s="230" t="s">
        <v>125</v>
      </c>
      <c r="N15" s="233">
        <v>-554044</v>
      </c>
      <c r="O15" s="230" t="s">
        <v>2545</v>
      </c>
      <c r="P15" s="231"/>
    </row>
    <row r="16" spans="1:16" s="230" customFormat="1" ht="14.7" customHeight="1" x14ac:dyDescent="0.3">
      <c r="A16" s="230" t="s">
        <v>297</v>
      </c>
      <c r="B16" s="230" t="s">
        <v>298</v>
      </c>
      <c r="E16" s="230" t="s">
        <v>2540</v>
      </c>
      <c r="F16" s="236">
        <v>4010</v>
      </c>
      <c r="G16" s="230" t="s">
        <v>2521</v>
      </c>
      <c r="H16" s="230" t="s">
        <v>2563</v>
      </c>
      <c r="I16" s="230">
        <v>6400</v>
      </c>
      <c r="J16" s="230" t="s">
        <v>2572</v>
      </c>
      <c r="K16" s="230" t="s">
        <v>2573</v>
      </c>
      <c r="L16" s="230">
        <v>5300</v>
      </c>
      <c r="M16" s="230" t="s">
        <v>2574</v>
      </c>
      <c r="N16" s="234">
        <v>-511977</v>
      </c>
      <c r="O16" s="230" t="s">
        <v>2543</v>
      </c>
      <c r="P16" s="235" t="s">
        <v>2575</v>
      </c>
    </row>
    <row r="17" spans="1:26" s="230" customFormat="1" ht="14.7" customHeight="1" x14ac:dyDescent="0.3">
      <c r="A17" s="230" t="s">
        <v>297</v>
      </c>
      <c r="B17" s="230" t="s">
        <v>298</v>
      </c>
      <c r="E17" s="230" t="s">
        <v>2540</v>
      </c>
      <c r="F17" s="236">
        <v>4010</v>
      </c>
      <c r="G17" s="230" t="s">
        <v>2521</v>
      </c>
      <c r="H17" s="230" t="s">
        <v>2563</v>
      </c>
      <c r="I17" s="230">
        <v>6400</v>
      </c>
      <c r="J17" s="230" t="s">
        <v>2572</v>
      </c>
      <c r="K17" s="230" t="s">
        <v>2573</v>
      </c>
      <c r="L17" s="230">
        <v>5300</v>
      </c>
      <c r="M17" s="230" t="s">
        <v>2574</v>
      </c>
      <c r="N17" s="233">
        <v>-501475</v>
      </c>
      <c r="O17" s="230" t="s">
        <v>2545</v>
      </c>
      <c r="P17" s="231"/>
    </row>
    <row r="18" spans="1:26" s="230" customFormat="1" ht="14.7" customHeight="1" x14ac:dyDescent="0.3">
      <c r="A18" s="231" t="s">
        <v>2484</v>
      </c>
      <c r="B18" s="230" t="s">
        <v>2485</v>
      </c>
      <c r="C18" s="230" t="s">
        <v>243</v>
      </c>
      <c r="D18" s="230" t="s">
        <v>2539</v>
      </c>
      <c r="E18" s="230" t="s">
        <v>2576</v>
      </c>
      <c r="F18" s="231">
        <v>6100</v>
      </c>
      <c r="G18" s="230" t="s">
        <v>2485</v>
      </c>
      <c r="H18" s="230" t="s">
        <v>2577</v>
      </c>
      <c r="I18" s="230">
        <v>1100</v>
      </c>
      <c r="J18" s="230" t="s">
        <v>2542</v>
      </c>
      <c r="K18" s="230" t="s">
        <v>125</v>
      </c>
      <c r="L18" s="230">
        <v>4000</v>
      </c>
      <c r="M18" s="230" t="s">
        <v>125</v>
      </c>
      <c r="N18" s="232">
        <v>-435620</v>
      </c>
      <c r="O18" s="230" t="s">
        <v>2543</v>
      </c>
      <c r="P18" s="230" t="s">
        <v>2578</v>
      </c>
    </row>
    <row r="19" spans="1:26" s="230" customFormat="1" ht="14.7" customHeight="1" x14ac:dyDescent="0.3">
      <c r="A19" s="231" t="s">
        <v>2484</v>
      </c>
      <c r="B19" s="230" t="s">
        <v>2485</v>
      </c>
      <c r="C19" s="230" t="s">
        <v>243</v>
      </c>
      <c r="D19" s="230" t="s">
        <v>2539</v>
      </c>
      <c r="E19" s="230" t="s">
        <v>2576</v>
      </c>
      <c r="F19" s="231">
        <v>6100</v>
      </c>
      <c r="G19" s="230" t="s">
        <v>2485</v>
      </c>
      <c r="H19" s="230" t="s">
        <v>2577</v>
      </c>
      <c r="I19" s="230">
        <v>1100</v>
      </c>
      <c r="J19" s="230" t="s">
        <v>2542</v>
      </c>
      <c r="K19" s="230" t="s">
        <v>125</v>
      </c>
      <c r="L19" s="230">
        <v>4000</v>
      </c>
      <c r="M19" s="230" t="s">
        <v>125</v>
      </c>
      <c r="N19" s="233">
        <v>-435620</v>
      </c>
      <c r="O19" s="230" t="s">
        <v>2545</v>
      </c>
      <c r="P19" s="231"/>
    </row>
    <row r="20" spans="1:26" s="230" customFormat="1" ht="14.7" customHeight="1" x14ac:dyDescent="0.3">
      <c r="A20" s="236" t="s">
        <v>279</v>
      </c>
      <c r="B20" s="230" t="s">
        <v>281</v>
      </c>
      <c r="E20" s="230" t="s">
        <v>2540</v>
      </c>
      <c r="F20" s="236">
        <v>4010</v>
      </c>
      <c r="G20" s="230" t="s">
        <v>2521</v>
      </c>
      <c r="H20" s="230" t="s">
        <v>2546</v>
      </c>
      <c r="I20" s="230">
        <v>4221</v>
      </c>
      <c r="J20" s="230" t="s">
        <v>2579</v>
      </c>
      <c r="K20" s="230" t="s">
        <v>2580</v>
      </c>
      <c r="L20" s="230">
        <v>5500</v>
      </c>
      <c r="M20" s="230" t="s">
        <v>2581</v>
      </c>
      <c r="N20" s="232">
        <v>-391435</v>
      </c>
      <c r="O20" s="230" t="s">
        <v>2543</v>
      </c>
      <c r="P20" s="235" t="s">
        <v>2567</v>
      </c>
    </row>
    <row r="21" spans="1:26" s="230" customFormat="1" ht="14.7" customHeight="1" x14ac:dyDescent="0.3">
      <c r="A21" s="236" t="s">
        <v>279</v>
      </c>
      <c r="B21" s="230" t="s">
        <v>281</v>
      </c>
      <c r="E21" s="230" t="s">
        <v>2540</v>
      </c>
      <c r="F21" s="236">
        <v>4010</v>
      </c>
      <c r="G21" s="230" t="s">
        <v>2521</v>
      </c>
      <c r="H21" s="230" t="s">
        <v>2546</v>
      </c>
      <c r="I21" s="230">
        <v>4221</v>
      </c>
      <c r="J21" s="230" t="s">
        <v>2579</v>
      </c>
      <c r="K21" s="230" t="s">
        <v>2580</v>
      </c>
      <c r="L21" s="230">
        <v>5500</v>
      </c>
      <c r="M21" s="230" t="s">
        <v>2581</v>
      </c>
      <c r="N21" s="233">
        <v>-382700</v>
      </c>
      <c r="O21" s="230" t="s">
        <v>2545</v>
      </c>
      <c r="P21" s="231"/>
    </row>
    <row r="22" spans="1:26" s="230" customFormat="1" ht="14.7" customHeight="1" x14ac:dyDescent="0.3">
      <c r="A22" s="230" t="s">
        <v>256</v>
      </c>
      <c r="B22" s="230" t="s">
        <v>258</v>
      </c>
      <c r="E22" s="230" t="s">
        <v>2540</v>
      </c>
      <c r="F22" s="230">
        <v>4010</v>
      </c>
      <c r="G22" s="230" t="s">
        <v>2521</v>
      </c>
      <c r="H22" s="230" t="s">
        <v>2582</v>
      </c>
      <c r="I22" s="230">
        <v>3120</v>
      </c>
      <c r="J22" s="230" t="s">
        <v>2583</v>
      </c>
      <c r="K22" s="230" t="s">
        <v>2584</v>
      </c>
      <c r="L22" s="230">
        <v>6100</v>
      </c>
      <c r="M22" s="230" t="s">
        <v>2584</v>
      </c>
      <c r="N22" s="232">
        <v>-213520</v>
      </c>
      <c r="O22" s="230" t="s">
        <v>2543</v>
      </c>
      <c r="P22" t="s">
        <v>2585</v>
      </c>
    </row>
    <row r="23" spans="1:26" s="230" customFormat="1" ht="14.7" customHeight="1" x14ac:dyDescent="0.3">
      <c r="A23" s="230" t="s">
        <v>256</v>
      </c>
      <c r="B23" s="230" t="s">
        <v>258</v>
      </c>
      <c r="E23" s="230" t="s">
        <v>2540</v>
      </c>
      <c r="F23" s="230">
        <v>4010</v>
      </c>
      <c r="G23" s="230" t="s">
        <v>2521</v>
      </c>
      <c r="H23" s="230" t="s">
        <v>2582</v>
      </c>
      <c r="I23" s="230">
        <v>3120</v>
      </c>
      <c r="J23" s="230" t="s">
        <v>2583</v>
      </c>
      <c r="K23" s="230" t="s">
        <v>2584</v>
      </c>
      <c r="L23" s="230">
        <v>6100</v>
      </c>
      <c r="M23" s="230" t="s">
        <v>2584</v>
      </c>
      <c r="N23" s="233">
        <v>-213520</v>
      </c>
      <c r="O23" s="230" t="s">
        <v>2545</v>
      </c>
      <c r="P23" t="s">
        <v>2586</v>
      </c>
    </row>
    <row r="24" spans="1:26" s="230" customFormat="1" ht="14.7" customHeight="1" x14ac:dyDescent="0.3">
      <c r="A24" s="230" t="s">
        <v>341</v>
      </c>
      <c r="B24" s="230" t="s">
        <v>342</v>
      </c>
      <c r="E24" s="230" t="s">
        <v>2587</v>
      </c>
      <c r="F24" s="236">
        <v>4110</v>
      </c>
      <c r="G24" s="230" t="s">
        <v>2561</v>
      </c>
      <c r="H24" s="230" t="s">
        <v>2563</v>
      </c>
      <c r="I24" s="230">
        <v>6400</v>
      </c>
      <c r="J24" s="230" t="s">
        <v>2572</v>
      </c>
      <c r="K24" s="230" t="s">
        <v>2573</v>
      </c>
      <c r="L24" s="230">
        <v>5300</v>
      </c>
      <c r="M24" s="230" t="s">
        <v>2574</v>
      </c>
      <c r="N24" s="232">
        <v>-205000</v>
      </c>
      <c r="O24" s="230" t="s">
        <v>2543</v>
      </c>
      <c r="P24" s="235" t="s">
        <v>2575</v>
      </c>
    </row>
    <row r="25" spans="1:26" s="230" customFormat="1" ht="14.7" customHeight="1" x14ac:dyDescent="0.3">
      <c r="A25" s="230" t="s">
        <v>341</v>
      </c>
      <c r="B25" s="230" t="s">
        <v>342</v>
      </c>
      <c r="E25" s="230" t="s">
        <v>2587</v>
      </c>
      <c r="F25" s="236">
        <v>4110</v>
      </c>
      <c r="G25" s="230" t="s">
        <v>2561</v>
      </c>
      <c r="H25" s="230" t="s">
        <v>2563</v>
      </c>
      <c r="I25" s="230">
        <v>6400</v>
      </c>
      <c r="J25" s="230" t="s">
        <v>2572</v>
      </c>
      <c r="K25" s="230" t="s">
        <v>2573</v>
      </c>
      <c r="L25" s="230">
        <v>5300</v>
      </c>
      <c r="M25" s="230" t="s">
        <v>2574</v>
      </c>
      <c r="N25" s="233">
        <v>-205000</v>
      </c>
      <c r="O25" s="230" t="s">
        <v>2545</v>
      </c>
      <c r="P25" s="231"/>
    </row>
    <row r="26" spans="1:26" s="230" customFormat="1" ht="14.7" customHeight="1" x14ac:dyDescent="0.3">
      <c r="A26" s="231" t="s">
        <v>253</v>
      </c>
      <c r="B26" s="230" t="s">
        <v>2588</v>
      </c>
      <c r="E26" s="230" t="s">
        <v>2540</v>
      </c>
      <c r="F26" s="231">
        <v>4010</v>
      </c>
      <c r="G26" s="230" t="s">
        <v>2521</v>
      </c>
      <c r="H26" s="230" t="s">
        <v>2582</v>
      </c>
      <c r="I26" s="230">
        <v>3110</v>
      </c>
      <c r="J26" s="230" t="s">
        <v>2557</v>
      </c>
      <c r="K26" s="230" t="s">
        <v>2589</v>
      </c>
      <c r="L26" s="230">
        <v>6300</v>
      </c>
      <c r="M26" s="230" t="s">
        <v>2590</v>
      </c>
      <c r="N26" s="232">
        <f>+N27-38500</f>
        <v>-191500</v>
      </c>
      <c r="O26" s="230" t="s">
        <v>2543</v>
      </c>
      <c r="P26" s="235" t="s">
        <v>2591</v>
      </c>
      <c r="Z26" s="237" t="s">
        <v>2592</v>
      </c>
    </row>
    <row r="27" spans="1:26" s="230" customFormat="1" ht="14.7" customHeight="1" x14ac:dyDescent="0.3">
      <c r="A27" s="231" t="s">
        <v>253</v>
      </c>
      <c r="B27" s="230" t="s">
        <v>2588</v>
      </c>
      <c r="E27" s="230" t="s">
        <v>2540</v>
      </c>
      <c r="F27" s="231">
        <v>4010</v>
      </c>
      <c r="G27" s="230" t="s">
        <v>2521</v>
      </c>
      <c r="H27" s="230" t="s">
        <v>2582</v>
      </c>
      <c r="I27" s="230">
        <v>3110</v>
      </c>
      <c r="J27" s="230" t="s">
        <v>2557</v>
      </c>
      <c r="K27" s="230" t="s">
        <v>2589</v>
      </c>
      <c r="L27" s="230">
        <v>6300</v>
      </c>
      <c r="M27" s="230" t="s">
        <v>2590</v>
      </c>
      <c r="N27" s="233">
        <v>-153000</v>
      </c>
      <c r="O27" s="230" t="s">
        <v>2545</v>
      </c>
      <c r="P27" s="231"/>
    </row>
    <row r="28" spans="1:26" s="230" customFormat="1" ht="14.7" customHeight="1" x14ac:dyDescent="0.3">
      <c r="A28" s="230" t="s">
        <v>289</v>
      </c>
      <c r="B28" s="230" t="s">
        <v>291</v>
      </c>
      <c r="E28" s="230" t="s">
        <v>2540</v>
      </c>
      <c r="F28" s="236">
        <v>4010</v>
      </c>
      <c r="G28" s="230" t="s">
        <v>2521</v>
      </c>
      <c r="H28" s="230" t="s">
        <v>2593</v>
      </c>
      <c r="I28" s="230">
        <v>5160</v>
      </c>
      <c r="J28" s="230" t="s">
        <v>2594</v>
      </c>
      <c r="K28" s="230" t="s">
        <v>2584</v>
      </c>
      <c r="L28" s="230">
        <v>6100</v>
      </c>
      <c r="M28" s="230" t="s">
        <v>2584</v>
      </c>
      <c r="N28" s="232">
        <v>-146889</v>
      </c>
      <c r="O28" s="230" t="s">
        <v>2543</v>
      </c>
      <c r="P28" s="230" t="s">
        <v>2578</v>
      </c>
    </row>
    <row r="29" spans="1:26" s="230" customFormat="1" ht="14.7" customHeight="1" x14ac:dyDescent="0.3">
      <c r="A29" s="230" t="s">
        <v>289</v>
      </c>
      <c r="B29" s="230" t="s">
        <v>291</v>
      </c>
      <c r="E29" s="230" t="s">
        <v>2540</v>
      </c>
      <c r="F29" s="236">
        <v>4010</v>
      </c>
      <c r="G29" s="230" t="s">
        <v>2521</v>
      </c>
      <c r="H29" s="230" t="s">
        <v>2593</v>
      </c>
      <c r="I29" s="230">
        <v>5160</v>
      </c>
      <c r="J29" s="230" t="s">
        <v>2594</v>
      </c>
      <c r="K29" s="230" t="s">
        <v>2584</v>
      </c>
      <c r="L29" s="230">
        <v>6100</v>
      </c>
      <c r="M29" s="230" t="s">
        <v>2584</v>
      </c>
      <c r="N29" s="233">
        <v>-146889</v>
      </c>
      <c r="O29" s="230" t="s">
        <v>2545</v>
      </c>
      <c r="P29" t="s">
        <v>2586</v>
      </c>
    </row>
    <row r="30" spans="1:26" s="230" customFormat="1" x14ac:dyDescent="0.3">
      <c r="A30" s="231" t="s">
        <v>431</v>
      </c>
      <c r="B30" s="230" t="s">
        <v>433</v>
      </c>
      <c r="E30" s="230" t="s">
        <v>2555</v>
      </c>
      <c r="F30" s="231">
        <v>4200</v>
      </c>
      <c r="G30" s="230" t="s">
        <v>433</v>
      </c>
      <c r="H30" s="230" t="s">
        <v>2556</v>
      </c>
      <c r="I30" s="230">
        <v>1500</v>
      </c>
      <c r="J30" s="230" t="s">
        <v>2595</v>
      </c>
      <c r="K30" s="230" t="s">
        <v>433</v>
      </c>
      <c r="L30" s="230">
        <v>2000</v>
      </c>
      <c r="M30" s="230" t="s">
        <v>2558</v>
      </c>
      <c r="N30" s="232">
        <f>-143552+(-90000)</f>
        <v>-233552</v>
      </c>
      <c r="O30" s="230" t="s">
        <v>2543</v>
      </c>
      <c r="P30" s="230" t="s">
        <v>2596</v>
      </c>
    </row>
    <row r="31" spans="1:26" s="230" customFormat="1" x14ac:dyDescent="0.3">
      <c r="A31" s="231" t="s">
        <v>431</v>
      </c>
      <c r="B31" s="230" t="s">
        <v>433</v>
      </c>
      <c r="E31" s="230" t="s">
        <v>2555</v>
      </c>
      <c r="F31" s="231">
        <v>4200</v>
      </c>
      <c r="G31" s="230" t="s">
        <v>433</v>
      </c>
      <c r="H31" s="230" t="s">
        <v>2556</v>
      </c>
      <c r="I31" s="230">
        <v>1500</v>
      </c>
      <c r="J31" s="230" t="s">
        <v>2595</v>
      </c>
      <c r="K31" s="230" t="s">
        <v>433</v>
      </c>
      <c r="L31" s="230">
        <v>2000</v>
      </c>
      <c r="M31" s="230" t="s">
        <v>2558</v>
      </c>
      <c r="N31" s="233">
        <v>-140300</v>
      </c>
      <c r="O31" s="230" t="s">
        <v>2545</v>
      </c>
      <c r="P31" s="231"/>
    </row>
    <row r="32" spans="1:26" s="230" customFormat="1" ht="14.7" customHeight="1" x14ac:dyDescent="0.3">
      <c r="A32" s="236" t="s">
        <v>269</v>
      </c>
      <c r="B32" s="230" t="s">
        <v>270</v>
      </c>
      <c r="E32" s="230" t="s">
        <v>2540</v>
      </c>
      <c r="F32" s="236">
        <v>4010</v>
      </c>
      <c r="G32" s="230" t="s">
        <v>2521</v>
      </c>
      <c r="H32" s="230" t="s">
        <v>2563</v>
      </c>
      <c r="I32" s="230">
        <v>4100</v>
      </c>
      <c r="J32" s="230" t="s">
        <v>2564</v>
      </c>
      <c r="K32" s="230" t="s">
        <v>2565</v>
      </c>
      <c r="L32" s="230">
        <v>5430</v>
      </c>
      <c r="M32" s="230" t="s">
        <v>2597</v>
      </c>
      <c r="N32" s="232">
        <v>-129797</v>
      </c>
      <c r="O32" s="230" t="s">
        <v>2543</v>
      </c>
      <c r="P32" s="235" t="s">
        <v>2598</v>
      </c>
    </row>
    <row r="33" spans="1:16" s="230" customFormat="1" ht="14.7" customHeight="1" x14ac:dyDescent="0.3">
      <c r="A33" s="236" t="s">
        <v>269</v>
      </c>
      <c r="B33" s="230" t="s">
        <v>270</v>
      </c>
      <c r="E33" s="230" t="s">
        <v>2540</v>
      </c>
      <c r="F33" s="236">
        <v>4010</v>
      </c>
      <c r="G33" s="230" t="s">
        <v>2521</v>
      </c>
      <c r="H33" s="230" t="s">
        <v>2563</v>
      </c>
      <c r="I33" s="230">
        <v>4100</v>
      </c>
      <c r="J33" s="230" t="s">
        <v>2564</v>
      </c>
      <c r="K33" s="230" t="s">
        <v>2565</v>
      </c>
      <c r="L33" s="230">
        <v>5430</v>
      </c>
      <c r="M33" s="230" t="s">
        <v>2597</v>
      </c>
      <c r="N33" s="233">
        <v>-126900</v>
      </c>
      <c r="O33" s="230" t="s">
        <v>2545</v>
      </c>
      <c r="P33" s="231"/>
    </row>
    <row r="34" spans="1:16" s="230" customFormat="1" ht="14.7" customHeight="1" x14ac:dyDescent="0.3">
      <c r="A34" s="236" t="s">
        <v>266</v>
      </c>
      <c r="B34" s="230" t="s">
        <v>268</v>
      </c>
      <c r="E34" s="230" t="s">
        <v>2540</v>
      </c>
      <c r="F34" s="236">
        <v>4010</v>
      </c>
      <c r="G34" s="230" t="s">
        <v>2521</v>
      </c>
      <c r="H34" s="230" t="s">
        <v>2563</v>
      </c>
      <c r="I34" s="230">
        <v>4100</v>
      </c>
      <c r="J34" s="230" t="s">
        <v>2564</v>
      </c>
      <c r="K34" s="230" t="s">
        <v>2565</v>
      </c>
      <c r="L34" s="230">
        <v>5420</v>
      </c>
      <c r="M34" s="230" t="s">
        <v>2599</v>
      </c>
      <c r="N34" s="232">
        <v>-97475</v>
      </c>
      <c r="O34" s="230" t="s">
        <v>2543</v>
      </c>
      <c r="P34" s="235" t="s">
        <v>2600</v>
      </c>
    </row>
    <row r="35" spans="1:16" s="230" customFormat="1" ht="14.7" customHeight="1" x14ac:dyDescent="0.3">
      <c r="A35" s="236" t="s">
        <v>266</v>
      </c>
      <c r="B35" s="230" t="s">
        <v>268</v>
      </c>
      <c r="E35" s="230" t="s">
        <v>2540</v>
      </c>
      <c r="F35" s="236">
        <v>4010</v>
      </c>
      <c r="G35" s="230" t="s">
        <v>2521</v>
      </c>
      <c r="H35" s="230" t="s">
        <v>2563</v>
      </c>
      <c r="I35" s="230">
        <v>4100</v>
      </c>
      <c r="J35" s="230" t="s">
        <v>2564</v>
      </c>
      <c r="K35" s="230" t="s">
        <v>2565</v>
      </c>
      <c r="L35" s="230">
        <v>5420</v>
      </c>
      <c r="M35" s="230" t="s">
        <v>2599</v>
      </c>
      <c r="N35" s="233">
        <v>-95300</v>
      </c>
      <c r="O35" s="230" t="s">
        <v>2545</v>
      </c>
      <c r="P35" s="231"/>
    </row>
    <row r="36" spans="1:16" s="230" customFormat="1" ht="14.7" customHeight="1" x14ac:dyDescent="0.3">
      <c r="A36" s="236" t="s">
        <v>246</v>
      </c>
      <c r="B36" s="230" t="s">
        <v>249</v>
      </c>
      <c r="E36" s="230" t="s">
        <v>2540</v>
      </c>
      <c r="F36" s="236">
        <v>4010</v>
      </c>
      <c r="G36" s="230" t="s">
        <v>2521</v>
      </c>
      <c r="H36" s="230" t="s">
        <v>2569</v>
      </c>
      <c r="I36" s="230">
        <v>2210</v>
      </c>
      <c r="J36" s="230" t="s">
        <v>2601</v>
      </c>
      <c r="K36" s="230" t="s">
        <v>2584</v>
      </c>
      <c r="L36" s="230">
        <v>6100</v>
      </c>
      <c r="M36" s="230" t="s">
        <v>2584</v>
      </c>
      <c r="N36" s="232">
        <v>-94500</v>
      </c>
      <c r="O36" s="230" t="s">
        <v>2543</v>
      </c>
      <c r="P36" s="230" t="s">
        <v>2578</v>
      </c>
    </row>
    <row r="37" spans="1:16" s="230" customFormat="1" ht="14.7" customHeight="1" x14ac:dyDescent="0.3">
      <c r="A37" s="236" t="s">
        <v>246</v>
      </c>
      <c r="B37" s="230" t="s">
        <v>249</v>
      </c>
      <c r="E37" s="230" t="s">
        <v>2540</v>
      </c>
      <c r="F37" s="236">
        <v>4010</v>
      </c>
      <c r="G37" s="230" t="s">
        <v>2521</v>
      </c>
      <c r="H37" s="230" t="s">
        <v>2569</v>
      </c>
      <c r="I37" s="230">
        <v>2210</v>
      </c>
      <c r="J37" s="230" t="s">
        <v>2601</v>
      </c>
      <c r="K37" s="230" t="s">
        <v>2584</v>
      </c>
      <c r="L37" s="230">
        <v>6100</v>
      </c>
      <c r="M37" s="230" t="s">
        <v>2584</v>
      </c>
      <c r="N37" s="233">
        <v>-94500</v>
      </c>
      <c r="O37" s="230" t="s">
        <v>2545</v>
      </c>
      <c r="P37" t="s">
        <v>2586</v>
      </c>
    </row>
    <row r="38" spans="1:16" s="230" customFormat="1" ht="14.7" customHeight="1" x14ac:dyDescent="0.3">
      <c r="A38" s="236" t="s">
        <v>277</v>
      </c>
      <c r="B38" s="230" t="s">
        <v>2602</v>
      </c>
      <c r="E38" s="230" t="s">
        <v>2540</v>
      </c>
      <c r="F38" s="236">
        <v>4010</v>
      </c>
      <c r="G38" s="230" t="s">
        <v>2521</v>
      </c>
      <c r="H38" s="230" t="s">
        <v>2546</v>
      </c>
      <c r="I38" s="230">
        <v>4210</v>
      </c>
      <c r="J38" s="230" t="s">
        <v>2603</v>
      </c>
      <c r="K38" s="230" t="s">
        <v>2604</v>
      </c>
      <c r="L38" s="230">
        <v>6300</v>
      </c>
      <c r="M38" s="230" t="s">
        <v>2590</v>
      </c>
      <c r="N38" s="232">
        <f>+N39-20000</f>
        <v>-100000</v>
      </c>
      <c r="O38" s="230" t="s">
        <v>2543</v>
      </c>
      <c r="P38" s="237" t="s">
        <v>2592</v>
      </c>
    </row>
    <row r="39" spans="1:16" s="230" customFormat="1" ht="14.7" customHeight="1" x14ac:dyDescent="0.3">
      <c r="A39" s="236" t="s">
        <v>277</v>
      </c>
      <c r="B39" s="230" t="s">
        <v>2602</v>
      </c>
      <c r="E39" s="230" t="s">
        <v>2540</v>
      </c>
      <c r="F39" s="236">
        <v>4010</v>
      </c>
      <c r="G39" s="230" t="s">
        <v>2521</v>
      </c>
      <c r="H39" s="230" t="s">
        <v>2546</v>
      </c>
      <c r="I39" s="230">
        <v>4210</v>
      </c>
      <c r="J39" s="230" t="s">
        <v>2603</v>
      </c>
      <c r="K39" s="230" t="s">
        <v>2604</v>
      </c>
      <c r="L39" s="230">
        <v>6300</v>
      </c>
      <c r="M39" s="230" t="s">
        <v>2590</v>
      </c>
      <c r="N39" s="233">
        <v>-80000</v>
      </c>
      <c r="O39" s="230" t="s">
        <v>2545</v>
      </c>
      <c r="P39" s="231"/>
    </row>
    <row r="40" spans="1:16" s="230" customFormat="1" ht="14.7" customHeight="1" x14ac:dyDescent="0.3">
      <c r="A40" s="230" t="s">
        <v>305</v>
      </c>
      <c r="B40" s="230" t="s">
        <v>307</v>
      </c>
      <c r="E40" s="230" t="s">
        <v>2605</v>
      </c>
      <c r="F40" s="236">
        <v>4020</v>
      </c>
      <c r="G40" s="230" t="s">
        <v>2522</v>
      </c>
      <c r="H40" s="230" t="s">
        <v>2593</v>
      </c>
      <c r="I40" s="230">
        <v>5130</v>
      </c>
      <c r="J40" s="230" t="s">
        <v>2606</v>
      </c>
      <c r="K40" s="230" t="s">
        <v>2607</v>
      </c>
      <c r="L40" s="230">
        <v>7020</v>
      </c>
      <c r="M40" s="230" t="s">
        <v>2608</v>
      </c>
      <c r="N40" s="232">
        <f>+N41</f>
        <v>-78227</v>
      </c>
      <c r="O40" s="230" t="s">
        <v>2543</v>
      </c>
      <c r="P40" s="230" t="s">
        <v>2578</v>
      </c>
    </row>
    <row r="41" spans="1:16" s="230" customFormat="1" ht="14.7" customHeight="1" x14ac:dyDescent="0.3">
      <c r="A41" s="230" t="s">
        <v>305</v>
      </c>
      <c r="B41" s="230" t="s">
        <v>307</v>
      </c>
      <c r="E41" s="230" t="s">
        <v>2605</v>
      </c>
      <c r="F41" s="236">
        <v>4020</v>
      </c>
      <c r="G41" s="230" t="s">
        <v>2522</v>
      </c>
      <c r="H41" s="230" t="s">
        <v>2593</v>
      </c>
      <c r="I41" s="230">
        <v>5130</v>
      </c>
      <c r="J41" s="230" t="s">
        <v>2606</v>
      </c>
      <c r="K41" s="230" t="s">
        <v>2607</v>
      </c>
      <c r="L41" s="230">
        <v>7020</v>
      </c>
      <c r="M41" s="230" t="s">
        <v>2608</v>
      </c>
      <c r="N41" s="233">
        <v>-78227</v>
      </c>
      <c r="O41" s="230" t="s">
        <v>2545</v>
      </c>
      <c r="P41" s="231"/>
    </row>
    <row r="42" spans="1:16" s="230" customFormat="1" ht="14.7" customHeight="1" x14ac:dyDescent="0.3">
      <c r="A42" s="236" t="s">
        <v>271</v>
      </c>
      <c r="B42" s="230" t="s">
        <v>272</v>
      </c>
      <c r="E42" s="230" t="s">
        <v>2540</v>
      </c>
      <c r="F42" s="236">
        <v>4010</v>
      </c>
      <c r="G42" s="230" t="s">
        <v>2521</v>
      </c>
      <c r="H42" s="230" t="s">
        <v>2563</v>
      </c>
      <c r="I42" s="230">
        <v>4100</v>
      </c>
      <c r="J42" s="230" t="s">
        <v>2564</v>
      </c>
      <c r="K42" s="230" t="s">
        <v>2565</v>
      </c>
      <c r="L42" s="230">
        <v>5431</v>
      </c>
      <c r="M42" s="230" t="s">
        <v>2609</v>
      </c>
      <c r="N42" s="232">
        <v>-109238</v>
      </c>
      <c r="O42" s="230" t="s">
        <v>2543</v>
      </c>
      <c r="P42" s="235" t="s">
        <v>2610</v>
      </c>
    </row>
    <row r="43" spans="1:16" s="230" customFormat="1" ht="14.7" customHeight="1" x14ac:dyDescent="0.3">
      <c r="A43" s="236" t="s">
        <v>271</v>
      </c>
      <c r="B43" s="230" t="s">
        <v>272</v>
      </c>
      <c r="E43" s="230" t="s">
        <v>2540</v>
      </c>
      <c r="F43" s="236">
        <v>4010</v>
      </c>
      <c r="G43" s="230" t="s">
        <v>2521</v>
      </c>
      <c r="H43" s="230" t="s">
        <v>2563</v>
      </c>
      <c r="I43" s="230">
        <v>4100</v>
      </c>
      <c r="J43" s="230" t="s">
        <v>2564</v>
      </c>
      <c r="K43" s="230" t="s">
        <v>2565</v>
      </c>
      <c r="L43" s="230">
        <v>5431</v>
      </c>
      <c r="M43" s="230" t="s">
        <v>2609</v>
      </c>
      <c r="N43" s="233">
        <v>-70700</v>
      </c>
      <c r="O43" s="230" t="s">
        <v>2545</v>
      </c>
      <c r="P43" s="231"/>
    </row>
    <row r="44" spans="1:16" s="230" customFormat="1" ht="14.7" customHeight="1" x14ac:dyDescent="0.3">
      <c r="A44" s="236" t="s">
        <v>302</v>
      </c>
      <c r="B44" s="230" t="s">
        <v>304</v>
      </c>
      <c r="E44" s="230" t="s">
        <v>2605</v>
      </c>
      <c r="F44" s="236">
        <v>4020</v>
      </c>
      <c r="G44" s="230" t="s">
        <v>2522</v>
      </c>
      <c r="H44" s="230" t="s">
        <v>2546</v>
      </c>
      <c r="I44" s="230">
        <v>4210</v>
      </c>
      <c r="J44" s="230" t="s">
        <v>2603</v>
      </c>
      <c r="K44" s="230" t="s">
        <v>2611</v>
      </c>
      <c r="L44" s="230">
        <v>7010</v>
      </c>
      <c r="M44" s="230" t="s">
        <v>2612</v>
      </c>
      <c r="N44" s="233">
        <v>-70600</v>
      </c>
      <c r="O44" s="230" t="s">
        <v>2545</v>
      </c>
      <c r="P44" s="230" t="s">
        <v>2613</v>
      </c>
    </row>
    <row r="45" spans="1:16" s="230" customFormat="1" ht="14.7" customHeight="1" x14ac:dyDescent="0.3">
      <c r="A45" s="230" t="s">
        <v>417</v>
      </c>
      <c r="B45" s="230" t="s">
        <v>418</v>
      </c>
      <c r="E45" s="230" t="s">
        <v>2614</v>
      </c>
      <c r="F45" s="230">
        <v>4131</v>
      </c>
      <c r="G45" s="230" t="s">
        <v>418</v>
      </c>
      <c r="H45" s="230" t="s">
        <v>2577</v>
      </c>
      <c r="I45" s="230">
        <v>1100</v>
      </c>
      <c r="J45" s="230" t="s">
        <v>2542</v>
      </c>
      <c r="K45" s="230" t="s">
        <v>2615</v>
      </c>
      <c r="L45" s="230">
        <v>1000</v>
      </c>
      <c r="M45" s="230" t="s">
        <v>2615</v>
      </c>
      <c r="N45" s="238"/>
      <c r="O45" s="230" t="s">
        <v>2543</v>
      </c>
      <c r="P45" s="230" t="s">
        <v>2616</v>
      </c>
    </row>
    <row r="46" spans="1:16" s="230" customFormat="1" ht="14.7" customHeight="1" x14ac:dyDescent="0.3">
      <c r="A46" s="230" t="s">
        <v>417</v>
      </c>
      <c r="B46" s="230" t="s">
        <v>418</v>
      </c>
      <c r="E46" s="230" t="s">
        <v>2614</v>
      </c>
      <c r="F46" s="230">
        <v>4131</v>
      </c>
      <c r="G46" s="230" t="s">
        <v>418</v>
      </c>
      <c r="H46" s="230" t="s">
        <v>2577</v>
      </c>
      <c r="I46" s="230">
        <v>1100</v>
      </c>
      <c r="J46" s="230" t="s">
        <v>2542</v>
      </c>
      <c r="K46" s="230" t="s">
        <v>2615</v>
      </c>
      <c r="L46" s="230">
        <v>1000</v>
      </c>
      <c r="M46" s="230" t="s">
        <v>2615</v>
      </c>
      <c r="N46" s="233">
        <v>-65500</v>
      </c>
      <c r="O46" s="230" t="s">
        <v>2545</v>
      </c>
      <c r="P46" s="230" t="s">
        <v>2617</v>
      </c>
    </row>
    <row r="47" spans="1:16" s="230" customFormat="1" ht="14.7" customHeight="1" x14ac:dyDescent="0.3">
      <c r="A47" s="236" t="s">
        <v>275</v>
      </c>
      <c r="B47" s="230" t="s">
        <v>276</v>
      </c>
      <c r="E47" s="230" t="s">
        <v>2540</v>
      </c>
      <c r="F47" s="236">
        <v>4010</v>
      </c>
      <c r="G47" s="230" t="s">
        <v>2521</v>
      </c>
      <c r="H47" s="230" t="s">
        <v>2577</v>
      </c>
      <c r="I47" s="230">
        <v>4100</v>
      </c>
      <c r="J47" s="230" t="s">
        <v>2564</v>
      </c>
      <c r="K47" s="230" t="s">
        <v>2618</v>
      </c>
      <c r="L47" s="230">
        <v>6200</v>
      </c>
      <c r="M47" s="230" t="s">
        <v>2618</v>
      </c>
      <c r="N47" s="232">
        <f>+N48</f>
        <v>-65000</v>
      </c>
      <c r="O47" s="230" t="s">
        <v>2543</v>
      </c>
      <c r="P47" s="231"/>
    </row>
    <row r="48" spans="1:16" s="230" customFormat="1" ht="14.7" customHeight="1" x14ac:dyDescent="0.3">
      <c r="A48" s="236" t="s">
        <v>275</v>
      </c>
      <c r="B48" s="230" t="s">
        <v>276</v>
      </c>
      <c r="E48" s="230" t="s">
        <v>2540</v>
      </c>
      <c r="F48" s="236">
        <v>4010</v>
      </c>
      <c r="G48" s="230" t="s">
        <v>2521</v>
      </c>
      <c r="H48" s="230" t="s">
        <v>2577</v>
      </c>
      <c r="I48" s="230">
        <v>4100</v>
      </c>
      <c r="J48" s="230" t="s">
        <v>2564</v>
      </c>
      <c r="K48" s="230" t="s">
        <v>2618</v>
      </c>
      <c r="L48" s="230">
        <v>6200</v>
      </c>
      <c r="M48" s="230" t="s">
        <v>2618</v>
      </c>
      <c r="N48" s="233">
        <v>-65000</v>
      </c>
      <c r="O48" s="230" t="s">
        <v>2545</v>
      </c>
      <c r="P48" s="231"/>
    </row>
    <row r="49" spans="1:16" s="230" customFormat="1" ht="14.7" customHeight="1" x14ac:dyDescent="0.3">
      <c r="A49" s="230" t="s">
        <v>417</v>
      </c>
      <c r="B49" s="230" t="s">
        <v>418</v>
      </c>
      <c r="E49" s="230" t="s">
        <v>2614</v>
      </c>
      <c r="F49" s="230">
        <v>4131</v>
      </c>
      <c r="G49" s="230" t="s">
        <v>418</v>
      </c>
      <c r="H49" s="230" t="s">
        <v>2577</v>
      </c>
      <c r="I49" s="230">
        <v>1100</v>
      </c>
      <c r="J49" s="230" t="s">
        <v>2542</v>
      </c>
      <c r="K49" s="230" t="s">
        <v>2615</v>
      </c>
      <c r="L49" s="230">
        <v>1000</v>
      </c>
      <c r="M49" s="230" t="s">
        <v>2615</v>
      </c>
      <c r="N49" s="232">
        <f>+N50</f>
        <v>-50000</v>
      </c>
      <c r="O49" s="230" t="s">
        <v>2543</v>
      </c>
      <c r="P49" s="230" t="s">
        <v>2548</v>
      </c>
    </row>
    <row r="50" spans="1:16" s="230" customFormat="1" ht="14.7" customHeight="1" x14ac:dyDescent="0.3">
      <c r="A50" s="230" t="s">
        <v>417</v>
      </c>
      <c r="B50" s="230" t="s">
        <v>418</v>
      </c>
      <c r="E50" s="230" t="s">
        <v>2614</v>
      </c>
      <c r="F50" s="230">
        <v>4131</v>
      </c>
      <c r="G50" s="230" t="s">
        <v>418</v>
      </c>
      <c r="H50" s="230" t="s">
        <v>2577</v>
      </c>
      <c r="I50" s="230">
        <v>1100</v>
      </c>
      <c r="J50" s="230" t="s">
        <v>2542</v>
      </c>
      <c r="K50" s="230" t="s">
        <v>2615</v>
      </c>
      <c r="L50" s="230">
        <v>1000</v>
      </c>
      <c r="M50" s="230" t="s">
        <v>2615</v>
      </c>
      <c r="N50" s="233">
        <v>-50000</v>
      </c>
      <c r="O50" s="230" t="s">
        <v>2545</v>
      </c>
      <c r="P50" s="230" t="s">
        <v>2548</v>
      </c>
    </row>
    <row r="51" spans="1:16" s="230" customFormat="1" ht="14.7" customHeight="1" x14ac:dyDescent="0.3">
      <c r="A51" s="230" t="s">
        <v>331</v>
      </c>
      <c r="B51" s="230" t="s">
        <v>332</v>
      </c>
      <c r="E51" s="230" t="s">
        <v>2619</v>
      </c>
      <c r="F51" s="236">
        <v>4110</v>
      </c>
      <c r="G51" s="230" t="s">
        <v>2561</v>
      </c>
      <c r="H51" s="230" t="s">
        <v>2546</v>
      </c>
      <c r="I51" s="230">
        <v>4330</v>
      </c>
      <c r="J51" s="230" t="s">
        <v>2620</v>
      </c>
      <c r="K51" s="230" t="s">
        <v>433</v>
      </c>
      <c r="L51" s="230">
        <v>2000</v>
      </c>
      <c r="M51" s="230" t="s">
        <v>2558</v>
      </c>
      <c r="N51" s="232">
        <f>-3610.66666666667*12</f>
        <v>-43328.000000000044</v>
      </c>
      <c r="O51" s="230" t="s">
        <v>2543</v>
      </c>
      <c r="P51" s="230" t="s">
        <v>2621</v>
      </c>
    </row>
    <row r="52" spans="1:16" s="230" customFormat="1" ht="14.7" customHeight="1" x14ac:dyDescent="0.3">
      <c r="A52" s="230" t="s">
        <v>331</v>
      </c>
      <c r="B52" s="230" t="s">
        <v>332</v>
      </c>
      <c r="E52" s="230" t="s">
        <v>2619</v>
      </c>
      <c r="F52" s="236">
        <v>4110</v>
      </c>
      <c r="G52" s="230" t="s">
        <v>2561</v>
      </c>
      <c r="H52" s="230" t="s">
        <v>2546</v>
      </c>
      <c r="I52" s="230">
        <v>4330</v>
      </c>
      <c r="J52" s="230" t="s">
        <v>2620</v>
      </c>
      <c r="K52" s="230" t="s">
        <v>433</v>
      </c>
      <c r="L52" s="230">
        <v>2000</v>
      </c>
      <c r="M52" s="230" t="s">
        <v>2558</v>
      </c>
      <c r="N52" s="233">
        <v>-46820</v>
      </c>
      <c r="O52" s="230" t="s">
        <v>2545</v>
      </c>
      <c r="P52" s="231"/>
    </row>
    <row r="53" spans="1:16" s="230" customFormat="1" ht="14.7" customHeight="1" x14ac:dyDescent="0.3">
      <c r="A53" s="230" t="s">
        <v>335</v>
      </c>
      <c r="B53" s="230" t="s">
        <v>336</v>
      </c>
      <c r="E53" s="230" t="s">
        <v>2587</v>
      </c>
      <c r="F53" s="236">
        <v>4110</v>
      </c>
      <c r="G53" s="230" t="s">
        <v>2561</v>
      </c>
      <c r="H53" s="230" t="s">
        <v>2563</v>
      </c>
      <c r="I53" s="230">
        <v>6200</v>
      </c>
      <c r="J53" s="230" t="s">
        <v>2622</v>
      </c>
      <c r="K53" s="230" t="s">
        <v>2573</v>
      </c>
      <c r="L53" s="230">
        <v>5200</v>
      </c>
      <c r="M53" s="230" t="s">
        <v>2623</v>
      </c>
      <c r="N53" s="232">
        <f>+N54</f>
        <v>-36000</v>
      </c>
      <c r="O53" s="230" t="s">
        <v>2543</v>
      </c>
      <c r="P53" s="231"/>
    </row>
    <row r="54" spans="1:16" s="230" customFormat="1" ht="14.7" customHeight="1" x14ac:dyDescent="0.3">
      <c r="A54" s="230" t="s">
        <v>335</v>
      </c>
      <c r="B54" s="230" t="s">
        <v>336</v>
      </c>
      <c r="E54" s="230" t="s">
        <v>2587</v>
      </c>
      <c r="F54" s="236">
        <v>4110</v>
      </c>
      <c r="G54" s="230" t="s">
        <v>2561</v>
      </c>
      <c r="H54" s="230" t="s">
        <v>2563</v>
      </c>
      <c r="I54" s="230">
        <v>6200</v>
      </c>
      <c r="J54" s="230" t="s">
        <v>2622</v>
      </c>
      <c r="K54" s="230" t="s">
        <v>2573</v>
      </c>
      <c r="L54" s="230">
        <v>5200</v>
      </c>
      <c r="M54" s="230" t="s">
        <v>2623</v>
      </c>
      <c r="N54" s="233">
        <v>-36000</v>
      </c>
      <c r="O54" s="230" t="s">
        <v>2545</v>
      </c>
      <c r="P54" s="231"/>
    </row>
    <row r="55" spans="1:16" s="230" customFormat="1" ht="14.7" customHeight="1" x14ac:dyDescent="0.3">
      <c r="A55" s="230" t="s">
        <v>399</v>
      </c>
      <c r="B55" s="230" t="s">
        <v>400</v>
      </c>
      <c r="C55" s="230" t="s">
        <v>280</v>
      </c>
      <c r="D55" s="230" t="s">
        <v>2624</v>
      </c>
      <c r="E55" s="230" t="s">
        <v>2625</v>
      </c>
      <c r="F55" s="230">
        <v>4110</v>
      </c>
      <c r="G55" s="230" t="s">
        <v>2561</v>
      </c>
      <c r="H55" s="230" t="s">
        <v>2546</v>
      </c>
      <c r="I55" s="230">
        <v>6501</v>
      </c>
      <c r="J55" s="230" t="s">
        <v>2626</v>
      </c>
      <c r="K55" s="230" t="s">
        <v>125</v>
      </c>
      <c r="L55" s="230">
        <v>4000</v>
      </c>
      <c r="M55" s="230" t="s">
        <v>125</v>
      </c>
      <c r="N55" s="232">
        <f>+N56</f>
        <v>-35000</v>
      </c>
      <c r="O55" s="230" t="s">
        <v>2543</v>
      </c>
      <c r="P55" s="231"/>
    </row>
    <row r="56" spans="1:16" s="230" customFormat="1" ht="14.7" customHeight="1" x14ac:dyDescent="0.3">
      <c r="A56" s="230" t="s">
        <v>399</v>
      </c>
      <c r="B56" s="230" t="s">
        <v>400</v>
      </c>
      <c r="C56" s="230" t="s">
        <v>280</v>
      </c>
      <c r="D56" s="230" t="s">
        <v>2624</v>
      </c>
      <c r="E56" s="230" t="s">
        <v>2625</v>
      </c>
      <c r="F56" s="230">
        <v>4110</v>
      </c>
      <c r="G56" s="230" t="s">
        <v>2561</v>
      </c>
      <c r="H56" s="230" t="s">
        <v>2546</v>
      </c>
      <c r="I56" s="230">
        <v>6501</v>
      </c>
      <c r="J56" s="230" t="s">
        <v>2626</v>
      </c>
      <c r="K56" s="230" t="s">
        <v>125</v>
      </c>
      <c r="L56" s="230">
        <v>4000</v>
      </c>
      <c r="M56" s="230" t="s">
        <v>125</v>
      </c>
      <c r="N56" s="233">
        <v>-35000</v>
      </c>
      <c r="O56" s="230" t="s">
        <v>2545</v>
      </c>
      <c r="P56" s="231"/>
    </row>
    <row r="57" spans="1:16" s="230" customFormat="1" ht="14.7" customHeight="1" x14ac:dyDescent="0.3">
      <c r="A57" s="236" t="s">
        <v>329</v>
      </c>
      <c r="B57" s="230" t="s">
        <v>330</v>
      </c>
      <c r="E57" s="230" t="s">
        <v>2625</v>
      </c>
      <c r="F57" s="236">
        <v>4110</v>
      </c>
      <c r="G57" s="230" t="s">
        <v>2561</v>
      </c>
      <c r="H57" s="230" t="s">
        <v>2546</v>
      </c>
      <c r="I57" s="230">
        <v>4221</v>
      </c>
      <c r="J57" s="230" t="s">
        <v>2579</v>
      </c>
      <c r="K57" s="230" t="s">
        <v>2580</v>
      </c>
      <c r="L57" s="230">
        <v>5500</v>
      </c>
      <c r="M57" s="230" t="s">
        <v>2581</v>
      </c>
      <c r="N57" s="232">
        <v>-33360</v>
      </c>
      <c r="O57" s="230" t="s">
        <v>2627</v>
      </c>
      <c r="P57" s="231"/>
    </row>
    <row r="58" spans="1:16" s="230" customFormat="1" ht="14.7" customHeight="1" x14ac:dyDescent="0.3">
      <c r="A58" s="236" t="s">
        <v>329</v>
      </c>
      <c r="B58" s="230" t="s">
        <v>330</v>
      </c>
      <c r="E58" s="230" t="s">
        <v>2625</v>
      </c>
      <c r="F58" s="236">
        <v>4110</v>
      </c>
      <c r="G58" s="230" t="s">
        <v>2561</v>
      </c>
      <c r="H58" s="230" t="s">
        <v>2546</v>
      </c>
      <c r="I58" s="230">
        <v>4221</v>
      </c>
      <c r="J58" s="230" t="s">
        <v>2579</v>
      </c>
      <c r="K58" s="230" t="s">
        <v>2580</v>
      </c>
      <c r="L58" s="230">
        <v>5500</v>
      </c>
      <c r="M58" s="230" t="s">
        <v>2581</v>
      </c>
      <c r="N58" s="233">
        <v>-33360</v>
      </c>
      <c r="O58" s="230" t="s">
        <v>2545</v>
      </c>
      <c r="P58" s="235" t="s">
        <v>2567</v>
      </c>
    </row>
    <row r="59" spans="1:16" s="230" customFormat="1" ht="14.7" customHeight="1" x14ac:dyDescent="0.3">
      <c r="A59" s="236" t="s">
        <v>299</v>
      </c>
      <c r="B59" s="230" t="s">
        <v>2628</v>
      </c>
      <c r="E59" s="230" t="s">
        <v>2605</v>
      </c>
      <c r="F59" s="236">
        <v>4020</v>
      </c>
      <c r="G59" s="230" t="s">
        <v>2522</v>
      </c>
      <c r="H59" s="230" t="s">
        <v>2582</v>
      </c>
      <c r="I59" s="230">
        <v>3300</v>
      </c>
      <c r="J59" s="230" t="s">
        <v>2629</v>
      </c>
      <c r="K59" s="230" t="s">
        <v>2630</v>
      </c>
      <c r="L59" s="230">
        <v>7030</v>
      </c>
      <c r="M59" s="230" t="s">
        <v>2630</v>
      </c>
      <c r="N59" s="232">
        <f>+N60</f>
        <v>-30000</v>
      </c>
      <c r="O59" s="230" t="s">
        <v>2543</v>
      </c>
      <c r="P59" s="231"/>
    </row>
    <row r="60" spans="1:16" s="230" customFormat="1" ht="14.7" customHeight="1" x14ac:dyDescent="0.3">
      <c r="A60" s="236" t="s">
        <v>299</v>
      </c>
      <c r="B60" s="230" t="s">
        <v>2628</v>
      </c>
      <c r="E60" s="230" t="s">
        <v>2605</v>
      </c>
      <c r="F60" s="236">
        <v>4020</v>
      </c>
      <c r="G60" s="230" t="s">
        <v>2522</v>
      </c>
      <c r="H60" s="230" t="s">
        <v>2582</v>
      </c>
      <c r="I60" s="230">
        <v>3300</v>
      </c>
      <c r="J60" s="230" t="s">
        <v>2629</v>
      </c>
      <c r="K60" s="230" t="s">
        <v>2630</v>
      </c>
      <c r="L60" s="230">
        <v>7030</v>
      </c>
      <c r="M60" s="230" t="s">
        <v>2630</v>
      </c>
      <c r="N60" s="233">
        <v>-30000</v>
      </c>
      <c r="O60" s="230" t="s">
        <v>2545</v>
      </c>
      <c r="P60" s="231"/>
    </row>
    <row r="61" spans="1:16" s="230" customFormat="1" ht="14.7" customHeight="1" x14ac:dyDescent="0.3">
      <c r="A61" s="230" t="s">
        <v>339</v>
      </c>
      <c r="B61" s="230" t="s">
        <v>340</v>
      </c>
      <c r="E61" s="230" t="s">
        <v>2587</v>
      </c>
      <c r="F61" s="231">
        <v>4110</v>
      </c>
      <c r="G61" s="230" t="s">
        <v>2561</v>
      </c>
      <c r="H61" s="230" t="s">
        <v>2563</v>
      </c>
      <c r="I61" s="230">
        <v>6302</v>
      </c>
      <c r="J61" s="230" t="s">
        <v>2631</v>
      </c>
      <c r="K61" s="230" t="s">
        <v>2573</v>
      </c>
      <c r="L61" s="230">
        <v>5100</v>
      </c>
      <c r="M61" s="230" t="s">
        <v>2632</v>
      </c>
      <c r="N61" s="232">
        <f>+N62</f>
        <v>-25000</v>
      </c>
      <c r="O61" s="230" t="s">
        <v>2543</v>
      </c>
      <c r="P61" s="230" t="s">
        <v>2633</v>
      </c>
    </row>
    <row r="62" spans="1:16" s="230" customFormat="1" ht="14.7" customHeight="1" x14ac:dyDescent="0.3">
      <c r="A62" s="230" t="s">
        <v>339</v>
      </c>
      <c r="B62" s="230" t="s">
        <v>340</v>
      </c>
      <c r="E62" s="230" t="s">
        <v>2587</v>
      </c>
      <c r="F62" s="231">
        <v>4110</v>
      </c>
      <c r="G62" s="230" t="s">
        <v>2561</v>
      </c>
      <c r="H62" s="230" t="s">
        <v>2563</v>
      </c>
      <c r="I62" s="230">
        <v>6302</v>
      </c>
      <c r="J62" s="230" t="s">
        <v>2631</v>
      </c>
      <c r="K62" s="230" t="s">
        <v>2573</v>
      </c>
      <c r="L62" s="230">
        <v>5100</v>
      </c>
      <c r="M62" s="230" t="s">
        <v>2632</v>
      </c>
      <c r="N62" s="233">
        <v>-25000</v>
      </c>
      <c r="O62" s="230" t="s">
        <v>2545</v>
      </c>
      <c r="P62" s="230" t="s">
        <v>2633</v>
      </c>
    </row>
    <row r="63" spans="1:16" s="230" customFormat="1" ht="14.7" customHeight="1" x14ac:dyDescent="0.3">
      <c r="A63" s="230" t="s">
        <v>337</v>
      </c>
      <c r="B63" s="230" t="s">
        <v>338</v>
      </c>
      <c r="E63" s="230" t="s">
        <v>2587</v>
      </c>
      <c r="F63" s="236">
        <v>4110</v>
      </c>
      <c r="G63" s="230" t="s">
        <v>2561</v>
      </c>
      <c r="H63" s="230" t="s">
        <v>2563</v>
      </c>
      <c r="I63" s="230">
        <v>6301</v>
      </c>
      <c r="J63" s="230" t="s">
        <v>2634</v>
      </c>
      <c r="K63" s="230" t="s">
        <v>2573</v>
      </c>
      <c r="L63" s="230">
        <v>5100</v>
      </c>
      <c r="M63" s="230" t="s">
        <v>2632</v>
      </c>
      <c r="N63" s="232">
        <f>+N64</f>
        <v>-25000</v>
      </c>
      <c r="O63" s="230" t="s">
        <v>2543</v>
      </c>
      <c r="P63" s="231"/>
    </row>
    <row r="64" spans="1:16" s="230" customFormat="1" ht="14.7" customHeight="1" x14ac:dyDescent="0.3">
      <c r="A64" s="230" t="s">
        <v>337</v>
      </c>
      <c r="B64" s="230" t="s">
        <v>338</v>
      </c>
      <c r="E64" s="230" t="s">
        <v>2587</v>
      </c>
      <c r="F64" s="236">
        <v>4110</v>
      </c>
      <c r="G64" s="230" t="s">
        <v>2561</v>
      </c>
      <c r="H64" s="230" t="s">
        <v>2563</v>
      </c>
      <c r="I64" s="230">
        <v>6301</v>
      </c>
      <c r="J64" s="230" t="s">
        <v>2634</v>
      </c>
      <c r="K64" s="230" t="s">
        <v>2573</v>
      </c>
      <c r="L64" s="230">
        <v>5100</v>
      </c>
      <c r="M64" s="230" t="s">
        <v>2632</v>
      </c>
      <c r="N64" s="233">
        <v>-25000</v>
      </c>
      <c r="O64" s="230" t="s">
        <v>2545</v>
      </c>
      <c r="P64" s="231"/>
    </row>
    <row r="65" spans="1:16" s="230" customFormat="1" ht="14.7" customHeight="1" x14ac:dyDescent="0.3">
      <c r="A65" s="236" t="s">
        <v>295</v>
      </c>
      <c r="B65" s="230" t="s">
        <v>296</v>
      </c>
      <c r="E65" s="230" t="s">
        <v>2540</v>
      </c>
      <c r="F65" s="236">
        <v>4010</v>
      </c>
      <c r="G65" s="230" t="s">
        <v>2521</v>
      </c>
      <c r="H65" s="230" t="s">
        <v>2577</v>
      </c>
      <c r="I65" s="230">
        <v>6400</v>
      </c>
      <c r="J65" s="230" t="s">
        <v>2572</v>
      </c>
      <c r="K65" s="230" t="s">
        <v>2635</v>
      </c>
      <c r="L65" s="230">
        <v>3000</v>
      </c>
      <c r="M65" s="230" t="s">
        <v>2635</v>
      </c>
      <c r="N65" s="232">
        <v>-23538</v>
      </c>
      <c r="O65" s="230" t="s">
        <v>2543</v>
      </c>
      <c r="P65" s="235" t="s">
        <v>2575</v>
      </c>
    </row>
    <row r="66" spans="1:16" s="230" customFormat="1" ht="14.7" customHeight="1" x14ac:dyDescent="0.3">
      <c r="A66" s="236" t="s">
        <v>295</v>
      </c>
      <c r="B66" s="230" t="s">
        <v>296</v>
      </c>
      <c r="E66" s="230" t="s">
        <v>2540</v>
      </c>
      <c r="F66" s="236">
        <v>4010</v>
      </c>
      <c r="G66" s="230" t="s">
        <v>2521</v>
      </c>
      <c r="H66" s="230" t="s">
        <v>2577</v>
      </c>
      <c r="I66" s="230">
        <v>6400</v>
      </c>
      <c r="J66" s="230" t="s">
        <v>2572</v>
      </c>
      <c r="K66" s="230" t="s">
        <v>2635</v>
      </c>
      <c r="L66" s="230">
        <v>3000</v>
      </c>
      <c r="M66" s="230" t="s">
        <v>2635</v>
      </c>
      <c r="N66" s="233">
        <v>-23538</v>
      </c>
      <c r="O66" s="230" t="s">
        <v>2545</v>
      </c>
      <c r="P66" s="231"/>
    </row>
    <row r="67" spans="1:16" s="230" customFormat="1" ht="14.7" customHeight="1" x14ac:dyDescent="0.3">
      <c r="A67" s="230" t="s">
        <v>250</v>
      </c>
      <c r="B67" s="230" t="s">
        <v>2636</v>
      </c>
      <c r="E67" s="230" t="s">
        <v>2540</v>
      </c>
      <c r="F67" s="230">
        <v>4010</v>
      </c>
      <c r="G67" s="230" t="s">
        <v>2521</v>
      </c>
      <c r="H67" s="230" t="s">
        <v>2582</v>
      </c>
      <c r="I67" s="230">
        <v>3110</v>
      </c>
      <c r="J67" s="230" t="s">
        <v>2557</v>
      </c>
      <c r="K67" s="230" t="s">
        <v>2584</v>
      </c>
      <c r="L67" s="230">
        <v>6100</v>
      </c>
      <c r="M67" s="230" t="s">
        <v>2584</v>
      </c>
      <c r="N67" s="232">
        <v>-23180</v>
      </c>
      <c r="O67" s="230" t="s">
        <v>2543</v>
      </c>
      <c r="P67"/>
    </row>
    <row r="68" spans="1:16" s="230" customFormat="1" ht="14.7" customHeight="1" x14ac:dyDescent="0.3">
      <c r="A68" s="230" t="s">
        <v>250</v>
      </c>
      <c r="B68" s="230" t="s">
        <v>2636</v>
      </c>
      <c r="E68" s="230" t="s">
        <v>2540</v>
      </c>
      <c r="F68" s="230">
        <v>4010</v>
      </c>
      <c r="G68" s="230" t="s">
        <v>2521</v>
      </c>
      <c r="H68" s="230" t="s">
        <v>2582</v>
      </c>
      <c r="I68" s="230">
        <v>3110</v>
      </c>
      <c r="J68" s="230" t="s">
        <v>2557</v>
      </c>
      <c r="K68" s="230" t="s">
        <v>2584</v>
      </c>
      <c r="L68" s="230">
        <v>6100</v>
      </c>
      <c r="M68" s="230" t="s">
        <v>2584</v>
      </c>
      <c r="N68" s="233">
        <v>-23180</v>
      </c>
      <c r="O68" s="230" t="s">
        <v>2545</v>
      </c>
      <c r="P68" t="s">
        <v>2637</v>
      </c>
    </row>
    <row r="69" spans="1:16" s="230" customFormat="1" ht="14.7" customHeight="1" x14ac:dyDescent="0.3">
      <c r="N69" s="233"/>
      <c r="P69"/>
    </row>
    <row r="70" spans="1:16" s="230" customFormat="1" ht="14.7" customHeight="1" x14ac:dyDescent="0.3">
      <c r="N70" s="233"/>
      <c r="P70"/>
    </row>
    <row r="71" spans="1:16" s="230" customFormat="1" ht="14.7" customHeight="1" x14ac:dyDescent="0.3">
      <c r="N71" s="233"/>
      <c r="P71"/>
    </row>
    <row r="72" spans="1:16" s="230" customFormat="1" ht="14.7" customHeight="1" x14ac:dyDescent="0.3">
      <c r="N72" s="233"/>
      <c r="P72"/>
    </row>
    <row r="73" spans="1:16" s="230" customFormat="1" ht="14.7" customHeight="1" x14ac:dyDescent="0.3">
      <c r="N73" s="233"/>
      <c r="P73"/>
    </row>
    <row r="74" spans="1:16" s="230" customFormat="1" ht="14.7" customHeight="1" x14ac:dyDescent="0.3">
      <c r="N74" s="233"/>
      <c r="P74"/>
    </row>
    <row r="75" spans="1:16" s="230" customFormat="1" ht="14.7" customHeight="1" x14ac:dyDescent="0.3">
      <c r="N75" s="233"/>
      <c r="P75"/>
    </row>
    <row r="76" spans="1:16" s="230" customFormat="1" ht="14.7" customHeight="1" x14ac:dyDescent="0.3">
      <c r="A76" s="230" t="s">
        <v>417</v>
      </c>
      <c r="B76" s="230" t="s">
        <v>418</v>
      </c>
      <c r="E76" s="230" t="s">
        <v>2614</v>
      </c>
      <c r="F76" s="230">
        <v>4131</v>
      </c>
      <c r="G76" s="230" t="s">
        <v>418</v>
      </c>
      <c r="H76" s="230" t="s">
        <v>2577</v>
      </c>
      <c r="I76" s="230">
        <v>1100</v>
      </c>
      <c r="J76" s="230" t="s">
        <v>2542</v>
      </c>
      <c r="K76" s="230" t="s">
        <v>2615</v>
      </c>
      <c r="L76" s="230">
        <v>1000</v>
      </c>
      <c r="M76" s="230" t="s">
        <v>2615</v>
      </c>
      <c r="N76" s="232">
        <v>-8000</v>
      </c>
      <c r="O76" s="230" t="s">
        <v>2543</v>
      </c>
      <c r="P76" s="230" t="s">
        <v>2607</v>
      </c>
    </row>
    <row r="77" spans="1:16" s="230" customFormat="1" ht="14.7" customHeight="1" x14ac:dyDescent="0.3">
      <c r="A77" s="230" t="s">
        <v>417</v>
      </c>
      <c r="B77" s="230" t="s">
        <v>418</v>
      </c>
      <c r="E77" s="230" t="s">
        <v>2614</v>
      </c>
      <c r="F77" s="230">
        <v>4131</v>
      </c>
      <c r="G77" s="230" t="s">
        <v>418</v>
      </c>
      <c r="H77" s="230" t="s">
        <v>2577</v>
      </c>
      <c r="I77" s="230">
        <v>1100</v>
      </c>
      <c r="J77" s="230" t="s">
        <v>2542</v>
      </c>
      <c r="K77" s="230" t="s">
        <v>2615</v>
      </c>
      <c r="L77" s="230">
        <v>1000</v>
      </c>
      <c r="M77" s="230" t="s">
        <v>2615</v>
      </c>
      <c r="N77" s="233">
        <v>-8000</v>
      </c>
      <c r="O77" s="230" t="s">
        <v>2545</v>
      </c>
      <c r="P77" s="230" t="s">
        <v>2638</v>
      </c>
    </row>
    <row r="78" spans="1:16" s="230" customFormat="1" ht="14.7" customHeight="1" x14ac:dyDescent="0.3">
      <c r="A78" s="236" t="s">
        <v>259</v>
      </c>
      <c r="B78" s="230" t="s">
        <v>261</v>
      </c>
      <c r="E78" s="230" t="s">
        <v>2540</v>
      </c>
      <c r="F78" s="236">
        <v>4010</v>
      </c>
      <c r="G78" s="230" t="s">
        <v>2521</v>
      </c>
      <c r="H78" s="230" t="s">
        <v>2582</v>
      </c>
      <c r="I78" s="230">
        <v>3300</v>
      </c>
      <c r="J78" s="230" t="s">
        <v>2629</v>
      </c>
      <c r="K78" s="230" t="s">
        <v>2630</v>
      </c>
      <c r="L78" s="230">
        <v>7030</v>
      </c>
      <c r="M78" s="230" t="s">
        <v>2630</v>
      </c>
      <c r="N78" s="232">
        <v>-7200</v>
      </c>
      <c r="O78" s="230" t="s">
        <v>2543</v>
      </c>
      <c r="P78" s="231"/>
    </row>
    <row r="79" spans="1:16" s="230" customFormat="1" ht="14.7" customHeight="1" x14ac:dyDescent="0.3">
      <c r="A79" s="236" t="s">
        <v>259</v>
      </c>
      <c r="B79" s="230" t="s">
        <v>261</v>
      </c>
      <c r="E79" s="230" t="s">
        <v>2540</v>
      </c>
      <c r="F79" s="236">
        <v>4010</v>
      </c>
      <c r="G79" s="230" t="s">
        <v>2521</v>
      </c>
      <c r="H79" s="230" t="s">
        <v>2582</v>
      </c>
      <c r="I79" s="230">
        <v>3300</v>
      </c>
      <c r="J79" s="230" t="s">
        <v>2629</v>
      </c>
      <c r="K79" s="230" t="s">
        <v>2630</v>
      </c>
      <c r="L79" s="230">
        <v>7030</v>
      </c>
      <c r="M79" s="230" t="s">
        <v>2630</v>
      </c>
      <c r="N79" s="233">
        <v>-7200</v>
      </c>
      <c r="O79" s="230" t="s">
        <v>2545</v>
      </c>
      <c r="P79" s="231"/>
    </row>
    <row r="80" spans="1:16" s="230" customFormat="1" ht="14.7" customHeight="1" x14ac:dyDescent="0.3">
      <c r="A80" s="230" t="s">
        <v>417</v>
      </c>
      <c r="B80" s="230" t="s">
        <v>418</v>
      </c>
      <c r="E80" s="230" t="s">
        <v>2614</v>
      </c>
      <c r="F80" s="230">
        <v>4131</v>
      </c>
      <c r="G80" s="230" t="s">
        <v>418</v>
      </c>
      <c r="H80" s="230" t="s">
        <v>2577</v>
      </c>
      <c r="I80" s="230">
        <v>1100</v>
      </c>
      <c r="J80" s="230" t="s">
        <v>2542</v>
      </c>
      <c r="K80" s="230" t="s">
        <v>2615</v>
      </c>
      <c r="L80" s="230">
        <v>1000</v>
      </c>
      <c r="M80" s="230" t="s">
        <v>2615</v>
      </c>
      <c r="N80" s="233">
        <v>-7100</v>
      </c>
      <c r="O80" s="230" t="s">
        <v>2545</v>
      </c>
      <c r="P80" s="230" t="s">
        <v>2611</v>
      </c>
    </row>
    <row r="81" spans="1:17" s="230" customFormat="1" ht="14.7" customHeight="1" x14ac:dyDescent="0.3">
      <c r="A81" s="230" t="s">
        <v>1025</v>
      </c>
      <c r="B81" s="230" t="s">
        <v>2639</v>
      </c>
      <c r="C81" s="230" t="s">
        <v>280</v>
      </c>
      <c r="D81" s="230" t="s">
        <v>2624</v>
      </c>
      <c r="E81" s="230" t="s">
        <v>2640</v>
      </c>
      <c r="F81" s="230">
        <v>5014</v>
      </c>
      <c r="G81" s="230" t="s">
        <v>2641</v>
      </c>
      <c r="H81" s="230" t="s">
        <v>2577</v>
      </c>
      <c r="I81" s="230">
        <v>6301</v>
      </c>
      <c r="J81" s="230" t="s">
        <v>2634</v>
      </c>
      <c r="K81" s="230" t="s">
        <v>125</v>
      </c>
      <c r="L81" s="230">
        <v>4000</v>
      </c>
      <c r="M81" s="230" t="s">
        <v>125</v>
      </c>
      <c r="N81" s="232">
        <v>-7000</v>
      </c>
      <c r="O81" s="230" t="s">
        <v>2543</v>
      </c>
      <c r="P81" s="231"/>
    </row>
    <row r="82" spans="1:17" s="230" customFormat="1" ht="14.7" customHeight="1" x14ac:dyDescent="0.3">
      <c r="A82" s="230" t="s">
        <v>1025</v>
      </c>
      <c r="B82" s="230" t="s">
        <v>2639</v>
      </c>
      <c r="C82" s="230" t="s">
        <v>280</v>
      </c>
      <c r="D82" s="230" t="s">
        <v>2624</v>
      </c>
      <c r="E82" s="230" t="s">
        <v>2640</v>
      </c>
      <c r="F82" s="230">
        <v>5014</v>
      </c>
      <c r="G82" s="230" t="s">
        <v>2641</v>
      </c>
      <c r="H82" s="230" t="s">
        <v>2577</v>
      </c>
      <c r="I82" s="230">
        <v>6301</v>
      </c>
      <c r="J82" s="230" t="s">
        <v>2634</v>
      </c>
      <c r="K82" s="230" t="s">
        <v>125</v>
      </c>
      <c r="L82" s="230">
        <v>4000</v>
      </c>
      <c r="M82" s="230" t="s">
        <v>125</v>
      </c>
      <c r="N82" s="233">
        <v>-7000</v>
      </c>
      <c r="O82" s="230" t="s">
        <v>2545</v>
      </c>
      <c r="P82" s="231"/>
    </row>
    <row r="83" spans="1:17" s="230" customFormat="1" ht="14.7" customHeight="1" x14ac:dyDescent="0.3">
      <c r="A83" s="230" t="s">
        <v>292</v>
      </c>
      <c r="B83" s="230" t="str">
        <f>+'20 21 Revenue - Middlesex (2)'!M4</f>
        <v>MOH CHO</v>
      </c>
      <c r="E83" s="230" t="s">
        <v>2540</v>
      </c>
      <c r="F83" s="236">
        <v>4010</v>
      </c>
      <c r="G83" s="230" t="s">
        <v>2521</v>
      </c>
      <c r="H83" s="230" t="s">
        <v>2563</v>
      </c>
      <c r="I83" s="230">
        <v>6302</v>
      </c>
      <c r="J83" s="230" t="s">
        <v>2631</v>
      </c>
      <c r="K83" s="230" t="s">
        <v>2573</v>
      </c>
      <c r="L83" s="230">
        <v>5100</v>
      </c>
      <c r="M83" s="230" t="s">
        <v>2632</v>
      </c>
      <c r="N83" s="232">
        <v>-1953</v>
      </c>
      <c r="O83" s="230" t="s">
        <v>2543</v>
      </c>
      <c r="P83" s="231"/>
    </row>
    <row r="84" spans="1:17" s="230" customFormat="1" ht="14.7" customHeight="1" x14ac:dyDescent="0.3">
      <c r="A84" s="230" t="s">
        <v>292</v>
      </c>
      <c r="B84" s="230" t="s">
        <v>2642</v>
      </c>
      <c r="E84" s="230" t="s">
        <v>2540</v>
      </c>
      <c r="F84" s="236">
        <v>4010</v>
      </c>
      <c r="G84" s="230" t="s">
        <v>2521</v>
      </c>
      <c r="H84" s="230" t="s">
        <v>2563</v>
      </c>
      <c r="I84" s="230">
        <v>6302</v>
      </c>
      <c r="J84" s="230" t="s">
        <v>2631</v>
      </c>
      <c r="K84" s="230" t="s">
        <v>2573</v>
      </c>
      <c r="L84" s="230">
        <v>5100</v>
      </c>
      <c r="M84" s="230" t="s">
        <v>2632</v>
      </c>
      <c r="N84" s="233">
        <v>-1953</v>
      </c>
      <c r="O84" s="230" t="s">
        <v>2545</v>
      </c>
      <c r="P84" s="231"/>
    </row>
    <row r="85" spans="1:17" s="230" customFormat="1" ht="14.7" customHeight="1" x14ac:dyDescent="0.3">
      <c r="A85" s="230" t="s">
        <v>441</v>
      </c>
      <c r="B85" s="230" t="s">
        <v>442</v>
      </c>
      <c r="E85" s="230" t="s">
        <v>2555</v>
      </c>
      <c r="F85" s="231">
        <v>4200</v>
      </c>
      <c r="G85" s="230" t="s">
        <v>433</v>
      </c>
      <c r="H85" s="230" t="s">
        <v>2556</v>
      </c>
      <c r="I85" s="230">
        <v>4330</v>
      </c>
      <c r="J85" s="230" t="s">
        <v>2620</v>
      </c>
      <c r="K85" s="230" t="s">
        <v>433</v>
      </c>
      <c r="L85" s="230">
        <v>2000</v>
      </c>
      <c r="M85" s="230" t="s">
        <v>2558</v>
      </c>
      <c r="N85" s="232">
        <v>-1000</v>
      </c>
      <c r="O85" s="230" t="s">
        <v>2543</v>
      </c>
      <c r="P85" s="231"/>
    </row>
    <row r="86" spans="1:17" s="230" customFormat="1" ht="14.7" customHeight="1" x14ac:dyDescent="0.3">
      <c r="A86" s="230" t="s">
        <v>441</v>
      </c>
      <c r="B86" s="230" t="s">
        <v>442</v>
      </c>
      <c r="E86" s="230" t="s">
        <v>2555</v>
      </c>
      <c r="F86" s="231">
        <v>4200</v>
      </c>
      <c r="G86" s="230" t="s">
        <v>433</v>
      </c>
      <c r="H86" s="230" t="s">
        <v>2556</v>
      </c>
      <c r="I86" s="230">
        <v>4330</v>
      </c>
      <c r="J86" s="230" t="s">
        <v>2620</v>
      </c>
      <c r="K86" s="230" t="s">
        <v>433</v>
      </c>
      <c r="L86" s="230">
        <v>2000</v>
      </c>
      <c r="M86" s="230" t="s">
        <v>2558</v>
      </c>
      <c r="N86" s="233">
        <v>-1000</v>
      </c>
      <c r="O86" s="230" t="s">
        <v>2545</v>
      </c>
      <c r="P86" s="231"/>
    </row>
    <row r="87" spans="1:17" s="230" customFormat="1" ht="14.7" customHeight="1" x14ac:dyDescent="0.3">
      <c r="F87" s="231"/>
      <c r="N87" s="233"/>
      <c r="P87" s="231"/>
    </row>
    <row r="88" spans="1:17" s="230" customFormat="1" ht="14.7" customHeight="1" x14ac:dyDescent="0.3">
      <c r="F88" s="231"/>
      <c r="N88" s="233"/>
      <c r="P88" s="231"/>
    </row>
    <row r="89" spans="1:17" s="230" customFormat="1" ht="14.7" customHeight="1" x14ac:dyDescent="0.3">
      <c r="F89" s="231"/>
      <c r="N89" s="233"/>
      <c r="P89" s="231"/>
    </row>
    <row r="90" spans="1:17" s="230" customFormat="1" ht="14.7" customHeight="1" x14ac:dyDescent="0.3">
      <c r="F90" s="231"/>
      <c r="N90" s="233"/>
      <c r="P90" s="231"/>
    </row>
    <row r="91" spans="1:17" s="230" customFormat="1" ht="14.7" customHeight="1" x14ac:dyDescent="0.3">
      <c r="F91" s="231"/>
      <c r="N91" s="233"/>
      <c r="P91" s="231"/>
    </row>
    <row r="92" spans="1:17" s="230" customFormat="1" ht="14.7" customHeight="1" x14ac:dyDescent="0.3">
      <c r="F92" s="231"/>
      <c r="N92" s="233"/>
      <c r="P92" s="231"/>
    </row>
    <row r="93" spans="1:17" s="230" customFormat="1" ht="14.7" customHeight="1" x14ac:dyDescent="0.3">
      <c r="F93" s="231"/>
      <c r="N93" s="233"/>
      <c r="P93" s="231"/>
    </row>
    <row r="94" spans="1:17" s="230" customFormat="1" ht="14.7" customHeight="1" x14ac:dyDescent="0.3">
      <c r="F94" s="231"/>
      <c r="N94" s="233"/>
      <c r="P94" s="231"/>
    </row>
    <row r="95" spans="1:17" s="230" customFormat="1" ht="14.7" customHeight="1" x14ac:dyDescent="0.3">
      <c r="A95" s="230" t="s">
        <v>1029</v>
      </c>
      <c r="B95" s="230" t="s">
        <v>2643</v>
      </c>
      <c r="C95" s="230" t="s">
        <v>280</v>
      </c>
      <c r="D95" s="230" t="s">
        <v>2624</v>
      </c>
      <c r="E95" s="230" t="s">
        <v>2640</v>
      </c>
      <c r="F95" s="230">
        <v>5014</v>
      </c>
      <c r="G95" s="230" t="s">
        <v>2641</v>
      </c>
      <c r="H95" s="230" t="s">
        <v>2577</v>
      </c>
      <c r="I95" s="230">
        <v>6407</v>
      </c>
      <c r="J95" s="230" t="s">
        <v>2644</v>
      </c>
      <c r="K95" s="230" t="s">
        <v>125</v>
      </c>
      <c r="L95" s="230">
        <v>4000</v>
      </c>
      <c r="M95" s="230" t="s">
        <v>125</v>
      </c>
      <c r="N95" s="232">
        <v>-1000</v>
      </c>
      <c r="O95" s="230" t="s">
        <v>2543</v>
      </c>
      <c r="P95" s="231"/>
      <c r="Q95" s="230">
        <v>17450671</v>
      </c>
    </row>
    <row r="96" spans="1:17" s="230" customFormat="1" ht="14.7" customHeight="1" x14ac:dyDescent="0.3">
      <c r="P96" s="231"/>
    </row>
    <row r="97" spans="14:16" s="230" customFormat="1" ht="14.7" customHeight="1" x14ac:dyDescent="0.3">
      <c r="P97" s="231"/>
    </row>
    <row r="98" spans="14:16" s="230" customFormat="1" ht="14.7" customHeight="1" x14ac:dyDescent="0.3">
      <c r="N98" s="239">
        <f>SUBTOTAL(9,N3:N86)</f>
        <v>-35111942</v>
      </c>
      <c r="P98" s="231"/>
    </row>
    <row r="99" spans="14:16" s="230" customFormat="1" ht="14.7" customHeight="1" x14ac:dyDescent="0.3">
      <c r="P99" s="231"/>
    </row>
    <row r="100" spans="14:16" s="230" customFormat="1" ht="14.7" customHeight="1" x14ac:dyDescent="0.3">
      <c r="P100" s="231"/>
    </row>
    <row r="101" spans="14:16" s="230" customFormat="1" ht="14.7" customHeight="1" x14ac:dyDescent="0.3">
      <c r="P101" s="231"/>
    </row>
    <row r="102" spans="14:16" s="230" customFormat="1" ht="14.7" customHeight="1" x14ac:dyDescent="0.3">
      <c r="P102" s="231"/>
    </row>
    <row r="103" spans="14:16" s="230" customFormat="1" ht="14.7" customHeight="1" x14ac:dyDescent="0.3">
      <c r="P103" s="231"/>
    </row>
    <row r="104" spans="14:16" s="230" customFormat="1" ht="14.7" customHeight="1" x14ac:dyDescent="0.3">
      <c r="P104" s="231"/>
    </row>
    <row r="105" spans="14:16" s="230" customFormat="1" ht="14.7" customHeight="1" x14ac:dyDescent="0.3">
      <c r="P105" s="231"/>
    </row>
    <row r="106" spans="14:16" s="230" customFormat="1" ht="14.7" customHeight="1" x14ac:dyDescent="0.3">
      <c r="P106" s="231"/>
    </row>
    <row r="107" spans="14:16" s="230" customFormat="1" ht="14.7" customHeight="1" x14ac:dyDescent="0.3"/>
    <row r="108" spans="14:16" s="230" customFormat="1" ht="14.7" customHeight="1" x14ac:dyDescent="0.3"/>
    <row r="109" spans="14:16" s="230" customFormat="1" ht="14.7" customHeight="1" x14ac:dyDescent="0.3">
      <c r="P109" s="231"/>
    </row>
    <row r="110" spans="14:16" s="230" customFormat="1" ht="14.7" customHeight="1" x14ac:dyDescent="0.3">
      <c r="P110" s="231"/>
    </row>
    <row r="111" spans="14:16" s="230" customFormat="1" ht="14.7" customHeight="1" x14ac:dyDescent="0.3">
      <c r="P111" s="231"/>
    </row>
    <row r="112" spans="14:16" s="230" customFormat="1" ht="14.7" customHeight="1" x14ac:dyDescent="0.3">
      <c r="P112" s="231"/>
    </row>
    <row r="113" spans="1:17" s="230" customFormat="1" ht="14.7" customHeight="1" x14ac:dyDescent="0.3"/>
    <row r="114" spans="1:17" s="230" customFormat="1" ht="14.7" customHeight="1" x14ac:dyDescent="0.3"/>
    <row r="115" spans="1:17" s="230" customFormat="1" ht="14.7" customHeight="1" x14ac:dyDescent="0.3"/>
    <row r="116" spans="1:17" s="230" customFormat="1" ht="14.7" customHeight="1" x14ac:dyDescent="0.3"/>
    <row r="117" spans="1:17" s="230" customFormat="1" ht="14.7" customHeight="1" x14ac:dyDescent="0.3"/>
    <row r="118" spans="1:17" s="230" customFormat="1" ht="14.7" customHeight="1" x14ac:dyDescent="0.3"/>
    <row r="119" spans="1:17" s="230" customFormat="1" ht="14.7" customHeight="1" x14ac:dyDescent="0.3"/>
    <row r="120" spans="1:17" s="230" customFormat="1" ht="14.7" customHeight="1" x14ac:dyDescent="0.3"/>
    <row r="121" spans="1:17" s="230" customFormat="1" ht="14.7" customHeight="1" x14ac:dyDescent="0.3"/>
    <row r="122" spans="1:17" s="230" customFormat="1" ht="14.7" customHeight="1" x14ac:dyDescent="0.3"/>
    <row r="123" spans="1:17" s="230" customFormat="1" ht="14.7" customHeight="1" x14ac:dyDescent="0.3"/>
    <row r="124" spans="1:17" s="230" customFormat="1" ht="14.7" customHeight="1" x14ac:dyDescent="0.3"/>
    <row r="125" spans="1:17" s="230" customFormat="1" ht="14.7" customHeight="1" x14ac:dyDescent="0.3"/>
    <row r="126" spans="1:17" s="230" customFormat="1" ht="14.7" customHeight="1" x14ac:dyDescent="0.3">
      <c r="A126" s="236"/>
      <c r="F126" s="236"/>
      <c r="N126" s="233"/>
      <c r="P126" s="231"/>
      <c r="Q126" s="240">
        <f>+N6+N2</f>
        <v>-17464681</v>
      </c>
    </row>
    <row r="127" spans="1:17" s="230" customFormat="1" ht="14.7" customHeight="1" x14ac:dyDescent="0.3">
      <c r="A127" s="236"/>
      <c r="F127" s="236"/>
      <c r="N127" s="233">
        <f>SUBTOTAL(9,N2:N95)</f>
        <v>-51859623</v>
      </c>
      <c r="P127" s="231"/>
      <c r="Q127" s="240">
        <f>+Q126+Q95</f>
        <v>-14010</v>
      </c>
    </row>
    <row r="128" spans="1:17" s="230" customFormat="1" ht="14.7" customHeight="1" x14ac:dyDescent="0.3">
      <c r="A128" s="236"/>
      <c r="F128" s="236"/>
      <c r="N128" s="233"/>
      <c r="P128" s="231"/>
    </row>
    <row r="129" spans="1:16" s="230" customFormat="1" ht="14.7" customHeight="1" x14ac:dyDescent="0.3">
      <c r="A129" s="227" t="s">
        <v>2523</v>
      </c>
      <c r="B129" s="227" t="s">
        <v>2524</v>
      </c>
      <c r="C129" s="227" t="s">
        <v>2531</v>
      </c>
      <c r="D129" s="227" t="s">
        <v>2532</v>
      </c>
      <c r="E129" s="227" t="s">
        <v>2534</v>
      </c>
      <c r="F129" s="227" t="s">
        <v>2535</v>
      </c>
      <c r="G129" s="228" t="s">
        <v>2536</v>
      </c>
      <c r="I129" s="227" t="s">
        <v>2531</v>
      </c>
      <c r="J129" s="227" t="s">
        <v>2532</v>
      </c>
      <c r="L129" s="227" t="s">
        <v>2534</v>
      </c>
      <c r="M129" s="227" t="s">
        <v>2535</v>
      </c>
      <c r="N129" s="228" t="s">
        <v>2536</v>
      </c>
      <c r="P129" s="231"/>
    </row>
    <row r="130" spans="1:16" s="230" customFormat="1" ht="14.7" customHeight="1" x14ac:dyDescent="0.3">
      <c r="A130" s="231" t="s">
        <v>242</v>
      </c>
      <c r="B130" s="230" t="s">
        <v>245</v>
      </c>
      <c r="C130" s="230">
        <v>1100</v>
      </c>
      <c r="D130" s="230" t="s">
        <v>2542</v>
      </c>
      <c r="E130" s="230">
        <v>4000</v>
      </c>
      <c r="F130" s="230" t="s">
        <v>125</v>
      </c>
      <c r="G130" s="232">
        <v>-16746681</v>
      </c>
      <c r="I130" s="230">
        <v>1100</v>
      </c>
      <c r="J130" s="230" t="s">
        <v>2542</v>
      </c>
      <c r="L130" s="230">
        <v>4000</v>
      </c>
      <c r="M130" s="230" t="s">
        <v>2590</v>
      </c>
      <c r="N130" s="233">
        <v>-191500</v>
      </c>
      <c r="P130" s="231"/>
    </row>
    <row r="131" spans="1:16" s="230" customFormat="1" ht="14.7" customHeight="1" x14ac:dyDescent="0.3">
      <c r="A131" s="230" t="s">
        <v>286</v>
      </c>
      <c r="B131" s="230" t="s">
        <v>288</v>
      </c>
      <c r="C131" s="230">
        <v>4500</v>
      </c>
      <c r="D131" s="230" t="s">
        <v>2547</v>
      </c>
      <c r="E131" s="230">
        <v>5600</v>
      </c>
      <c r="F131" s="230" t="s">
        <v>2548</v>
      </c>
      <c r="G131" s="234">
        <v>-2595522</v>
      </c>
      <c r="I131" s="230">
        <v>4500</v>
      </c>
      <c r="J131" s="230" t="s">
        <v>2547</v>
      </c>
      <c r="L131" s="230">
        <v>5600</v>
      </c>
      <c r="M131" s="230" t="s">
        <v>2590</v>
      </c>
      <c r="N131" s="233">
        <v>-100000</v>
      </c>
      <c r="P131" s="231"/>
    </row>
    <row r="132" spans="1:16" s="230" customFormat="1" ht="14.7" customHeight="1" x14ac:dyDescent="0.3">
      <c r="A132" s="230" t="s">
        <v>282</v>
      </c>
      <c r="B132" s="230" t="s">
        <v>2550</v>
      </c>
      <c r="C132" s="230">
        <v>4420</v>
      </c>
      <c r="D132" s="230" t="s">
        <v>2552</v>
      </c>
      <c r="E132" s="230">
        <v>4100</v>
      </c>
      <c r="F132" s="230" t="s">
        <v>125</v>
      </c>
      <c r="G132" s="232">
        <v>-718000</v>
      </c>
      <c r="I132" s="230">
        <v>4420</v>
      </c>
      <c r="J132" s="230" t="s">
        <v>2552</v>
      </c>
      <c r="L132" s="230">
        <v>4100</v>
      </c>
      <c r="M132" s="230" t="s">
        <v>2618</v>
      </c>
      <c r="N132" s="233">
        <v>-65000</v>
      </c>
      <c r="O132" s="255">
        <f>SUBTOTAL(9,N130:N132)</f>
        <v>-356500</v>
      </c>
      <c r="P132" s="243">
        <f>O132</f>
        <v>-356500</v>
      </c>
    </row>
    <row r="133" spans="1:16" s="230" customFormat="1" ht="14.7" customHeight="1" x14ac:dyDescent="0.3">
      <c r="A133" s="231" t="s">
        <v>437</v>
      </c>
      <c r="B133" s="230" t="s">
        <v>2554</v>
      </c>
      <c r="C133" s="230">
        <v>3110</v>
      </c>
      <c r="D133" s="230" t="s">
        <v>2557</v>
      </c>
      <c r="E133" s="230">
        <v>2000</v>
      </c>
      <c r="F133" s="230" t="s">
        <v>2558</v>
      </c>
      <c r="G133" s="234">
        <v>-1121886</v>
      </c>
      <c r="I133" s="230">
        <v>3110</v>
      </c>
      <c r="J133" s="230" t="s">
        <v>2557</v>
      </c>
      <c r="L133" s="230">
        <v>2000</v>
      </c>
      <c r="M133" s="230" t="s">
        <v>2558</v>
      </c>
      <c r="N133" s="233">
        <v>-1121886</v>
      </c>
      <c r="P133" s="231"/>
    </row>
    <row r="134" spans="1:16" s="230" customFormat="1" ht="14.7" customHeight="1" x14ac:dyDescent="0.3">
      <c r="A134" s="230" t="s">
        <v>333</v>
      </c>
      <c r="B134" s="230" t="s">
        <v>334</v>
      </c>
      <c r="C134" s="230">
        <v>4500</v>
      </c>
      <c r="D134" s="230" t="s">
        <v>2547</v>
      </c>
      <c r="E134" s="230">
        <v>5600</v>
      </c>
      <c r="F134" s="230" t="s">
        <v>2548</v>
      </c>
      <c r="G134" s="232">
        <v>-677749</v>
      </c>
      <c r="I134" s="230">
        <v>4500</v>
      </c>
      <c r="J134" s="230" t="s">
        <v>2547</v>
      </c>
      <c r="L134" s="230">
        <v>5600</v>
      </c>
      <c r="M134" s="230" t="s">
        <v>2558</v>
      </c>
      <c r="N134" s="233">
        <v>-233552</v>
      </c>
      <c r="P134" s="231"/>
    </row>
    <row r="135" spans="1:16" s="230" customFormat="1" ht="14.7" customHeight="1" x14ac:dyDescent="0.3">
      <c r="A135" s="236" t="s">
        <v>262</v>
      </c>
      <c r="B135" s="230" t="s">
        <v>265</v>
      </c>
      <c r="C135" s="230">
        <v>4100</v>
      </c>
      <c r="D135" s="230" t="s">
        <v>2564</v>
      </c>
      <c r="E135" s="230">
        <v>5410</v>
      </c>
      <c r="F135" s="230" t="s">
        <v>2566</v>
      </c>
      <c r="G135" s="234">
        <v>-568895</v>
      </c>
      <c r="I135" s="230">
        <v>4100</v>
      </c>
      <c r="J135" s="230" t="s">
        <v>2564</v>
      </c>
      <c r="L135" s="230">
        <v>5410</v>
      </c>
      <c r="M135" s="230" t="s">
        <v>2558</v>
      </c>
      <c r="N135" s="233">
        <v>-43328.000000000044</v>
      </c>
      <c r="P135" s="231"/>
    </row>
    <row r="136" spans="1:16" s="230" customFormat="1" ht="14.7" customHeight="1" x14ac:dyDescent="0.3">
      <c r="A136" s="231" t="s">
        <v>2510</v>
      </c>
      <c r="B136" s="230" t="s">
        <v>2511</v>
      </c>
      <c r="C136" s="230">
        <v>2000</v>
      </c>
      <c r="D136" s="230" t="s">
        <v>2570</v>
      </c>
      <c r="E136" s="230">
        <v>4000</v>
      </c>
      <c r="F136" s="230" t="s">
        <v>125</v>
      </c>
      <c r="G136" s="232">
        <v>-568052</v>
      </c>
      <c r="H136" s="230" t="s">
        <v>2543</v>
      </c>
      <c r="I136" s="230">
        <v>2000</v>
      </c>
      <c r="J136" s="230" t="s">
        <v>2570</v>
      </c>
      <c r="L136" s="230">
        <v>4000</v>
      </c>
      <c r="M136" s="241" t="s">
        <v>2558</v>
      </c>
      <c r="N136" s="233">
        <v>-1000</v>
      </c>
      <c r="O136" s="255">
        <f>SUBTOTAL(9,N133:N136)</f>
        <v>-1399766</v>
      </c>
      <c r="P136" s="243">
        <f>O136</f>
        <v>-1399766</v>
      </c>
    </row>
    <row r="137" spans="1:16" s="230" customFormat="1" ht="14.7" customHeight="1" x14ac:dyDescent="0.3">
      <c r="A137" s="230" t="s">
        <v>297</v>
      </c>
      <c r="B137" s="230" t="s">
        <v>298</v>
      </c>
      <c r="C137" s="230">
        <v>6400</v>
      </c>
      <c r="D137" s="230" t="s">
        <v>2572</v>
      </c>
      <c r="E137" s="230">
        <v>5300</v>
      </c>
      <c r="F137" s="230" t="s">
        <v>2574</v>
      </c>
      <c r="G137" s="234">
        <v>-511977</v>
      </c>
      <c r="H137" s="230" t="s">
        <v>2577</v>
      </c>
      <c r="I137" s="230">
        <v>6400</v>
      </c>
      <c r="J137" s="230" t="s">
        <v>2572</v>
      </c>
      <c r="K137" s="230" t="s">
        <v>125</v>
      </c>
      <c r="L137" s="230">
        <v>5300</v>
      </c>
      <c r="M137" s="230" t="s">
        <v>2630</v>
      </c>
      <c r="N137" s="244">
        <v>-30000</v>
      </c>
      <c r="O137" s="245"/>
      <c r="P137" s="231"/>
    </row>
    <row r="138" spans="1:16" s="230" customFormat="1" ht="14.7" customHeight="1" x14ac:dyDescent="0.3">
      <c r="A138" s="231" t="s">
        <v>2484</v>
      </c>
      <c r="B138" s="230" t="s">
        <v>2485</v>
      </c>
      <c r="C138" s="230">
        <v>1100</v>
      </c>
      <c r="D138" s="230" t="s">
        <v>2542</v>
      </c>
      <c r="E138" s="230">
        <v>4000</v>
      </c>
      <c r="F138" s="230" t="s">
        <v>125</v>
      </c>
      <c r="G138" s="232">
        <v>-435620</v>
      </c>
      <c r="H138" s="230" t="s">
        <v>2577</v>
      </c>
      <c r="I138" s="230">
        <v>1100</v>
      </c>
      <c r="J138" s="230" t="s">
        <v>2542</v>
      </c>
      <c r="K138" s="230" t="s">
        <v>125</v>
      </c>
      <c r="L138" s="230">
        <v>4000</v>
      </c>
      <c r="M138" s="241" t="s">
        <v>2630</v>
      </c>
      <c r="N138" s="233">
        <v>-7200</v>
      </c>
      <c r="O138" s="255">
        <f>SUBTOTAL(9,N137:N138)</f>
        <v>-37200</v>
      </c>
      <c r="P138" s="243">
        <f>O138</f>
        <v>-37200</v>
      </c>
    </row>
    <row r="139" spans="1:16" s="230" customFormat="1" ht="14.7" customHeight="1" x14ac:dyDescent="0.3">
      <c r="A139" s="236" t="s">
        <v>279</v>
      </c>
      <c r="B139" s="230" t="s">
        <v>281</v>
      </c>
      <c r="C139" s="230">
        <v>4221</v>
      </c>
      <c r="D139" s="230" t="s">
        <v>2579</v>
      </c>
      <c r="E139" s="230">
        <v>5500</v>
      </c>
      <c r="F139" s="230" t="s">
        <v>2581</v>
      </c>
      <c r="G139" s="232">
        <v>-391435</v>
      </c>
      <c r="H139" s="230" t="s">
        <v>2577</v>
      </c>
      <c r="I139" s="230">
        <v>4221</v>
      </c>
      <c r="J139" s="230" t="s">
        <v>2579</v>
      </c>
      <c r="K139" s="230" t="s">
        <v>125</v>
      </c>
      <c r="L139" s="230">
        <v>5500</v>
      </c>
      <c r="M139" s="230" t="s">
        <v>125</v>
      </c>
      <c r="N139" s="233">
        <v>-16746681</v>
      </c>
      <c r="O139" s="245"/>
      <c r="P139" s="231"/>
    </row>
    <row r="140" spans="1:16" s="230" customFormat="1" ht="14.7" customHeight="1" x14ac:dyDescent="0.3">
      <c r="A140" s="230" t="s">
        <v>256</v>
      </c>
      <c r="B140" s="230" t="s">
        <v>258</v>
      </c>
      <c r="C140" s="230">
        <v>3120</v>
      </c>
      <c r="D140" s="230" t="s">
        <v>2583</v>
      </c>
      <c r="E140" s="230">
        <v>6100</v>
      </c>
      <c r="F140" s="230" t="s">
        <v>2584</v>
      </c>
      <c r="G140" s="232">
        <v>-213520</v>
      </c>
      <c r="H140" s="230" t="s">
        <v>2577</v>
      </c>
      <c r="I140" s="230">
        <v>3120</v>
      </c>
      <c r="J140" s="230" t="s">
        <v>2583</v>
      </c>
      <c r="K140" s="230" t="s">
        <v>125</v>
      </c>
      <c r="L140" s="230">
        <v>6100</v>
      </c>
      <c r="M140" s="230" t="s">
        <v>125</v>
      </c>
      <c r="N140" s="233">
        <v>-718000</v>
      </c>
      <c r="O140" s="245"/>
      <c r="P140" s="231"/>
    </row>
    <row r="141" spans="1:16" s="230" customFormat="1" ht="14.7" customHeight="1" x14ac:dyDescent="0.3">
      <c r="A141" s="230" t="s">
        <v>341</v>
      </c>
      <c r="B141" s="230" t="s">
        <v>342</v>
      </c>
      <c r="C141" s="230">
        <v>6400</v>
      </c>
      <c r="D141" s="230" t="s">
        <v>2572</v>
      </c>
      <c r="E141" s="230">
        <v>5300</v>
      </c>
      <c r="F141" s="230" t="s">
        <v>2574</v>
      </c>
      <c r="G141" s="232">
        <v>-205000</v>
      </c>
      <c r="H141" s="230" t="s">
        <v>2577</v>
      </c>
      <c r="I141" s="230">
        <v>6400</v>
      </c>
      <c r="J141" s="230" t="s">
        <v>2572</v>
      </c>
      <c r="K141" s="230" t="s">
        <v>125</v>
      </c>
      <c r="L141" s="230">
        <v>5300</v>
      </c>
      <c r="M141" s="230" t="s">
        <v>125</v>
      </c>
      <c r="N141" s="233">
        <v>-568052</v>
      </c>
      <c r="O141" s="245"/>
      <c r="P141" s="231"/>
    </row>
    <row r="142" spans="1:16" s="230" customFormat="1" ht="14.7" customHeight="1" x14ac:dyDescent="0.3">
      <c r="A142" s="231" t="s">
        <v>253</v>
      </c>
      <c r="B142" s="230" t="s">
        <v>2588</v>
      </c>
      <c r="C142" s="230">
        <v>3110</v>
      </c>
      <c r="D142" s="230" t="s">
        <v>2557</v>
      </c>
      <c r="E142" s="230">
        <v>6300</v>
      </c>
      <c r="F142" s="230" t="s">
        <v>2590</v>
      </c>
      <c r="G142" s="232">
        <v>-191500</v>
      </c>
      <c r="H142" s="230" t="s">
        <v>2577</v>
      </c>
      <c r="I142" s="230">
        <v>3110</v>
      </c>
      <c r="J142" s="230" t="s">
        <v>2557</v>
      </c>
      <c r="K142" s="230" t="s">
        <v>125</v>
      </c>
      <c r="L142" s="230">
        <v>6300</v>
      </c>
      <c r="M142" s="230" t="s">
        <v>125</v>
      </c>
      <c r="N142" s="233">
        <v>-435620</v>
      </c>
      <c r="O142" s="245"/>
      <c r="P142" s="231"/>
    </row>
    <row r="143" spans="1:16" s="230" customFormat="1" ht="14.7" customHeight="1" x14ac:dyDescent="0.3">
      <c r="A143" s="230" t="s">
        <v>289</v>
      </c>
      <c r="B143" s="230" t="s">
        <v>291</v>
      </c>
      <c r="C143" s="230">
        <v>5160</v>
      </c>
      <c r="D143" s="230" t="s">
        <v>2594</v>
      </c>
      <c r="E143" s="230">
        <v>6100</v>
      </c>
      <c r="F143" s="230" t="s">
        <v>2584</v>
      </c>
      <c r="G143" s="232">
        <v>-146889</v>
      </c>
      <c r="H143" s="230" t="s">
        <v>2577</v>
      </c>
      <c r="I143" s="230">
        <v>5160</v>
      </c>
      <c r="J143" s="230" t="s">
        <v>2594</v>
      </c>
      <c r="K143" s="230" t="s">
        <v>125</v>
      </c>
      <c r="L143" s="230">
        <v>6100</v>
      </c>
      <c r="M143" s="230" t="s">
        <v>125</v>
      </c>
      <c r="N143" s="233">
        <v>-35000</v>
      </c>
      <c r="O143" s="245"/>
      <c r="P143" s="231"/>
    </row>
    <row r="144" spans="1:16" s="230" customFormat="1" ht="14.7" customHeight="1" x14ac:dyDescent="0.3">
      <c r="A144" s="231" t="s">
        <v>431</v>
      </c>
      <c r="B144" s="230" t="s">
        <v>433</v>
      </c>
      <c r="C144" s="230">
        <v>1500</v>
      </c>
      <c r="D144" s="230" t="s">
        <v>2595</v>
      </c>
      <c r="E144" s="230">
        <v>2000</v>
      </c>
      <c r="F144" s="230" t="s">
        <v>2558</v>
      </c>
      <c r="G144" s="232">
        <v>-233552</v>
      </c>
      <c r="H144" s="230" t="s">
        <v>2577</v>
      </c>
      <c r="I144" s="230">
        <v>1500</v>
      </c>
      <c r="J144" s="230" t="s">
        <v>2595</v>
      </c>
      <c r="K144" s="230" t="s">
        <v>125</v>
      </c>
      <c r="L144" s="230">
        <v>2000</v>
      </c>
      <c r="M144" s="230" t="s">
        <v>125</v>
      </c>
      <c r="N144" s="233">
        <v>-7000</v>
      </c>
      <c r="O144" s="245"/>
      <c r="P144" s="231"/>
    </row>
    <row r="145" spans="1:17" s="230" customFormat="1" ht="14.7" customHeight="1" x14ac:dyDescent="0.3">
      <c r="A145" s="236" t="s">
        <v>269</v>
      </c>
      <c r="B145" s="230" t="s">
        <v>270</v>
      </c>
      <c r="C145" s="230">
        <v>4100</v>
      </c>
      <c r="D145" s="230" t="s">
        <v>2564</v>
      </c>
      <c r="E145" s="230">
        <v>5430</v>
      </c>
      <c r="F145" s="230" t="s">
        <v>2597</v>
      </c>
      <c r="G145" s="232">
        <v>-129797</v>
      </c>
      <c r="H145" s="230" t="s">
        <v>2577</v>
      </c>
      <c r="I145" s="230">
        <v>4100</v>
      </c>
      <c r="J145" s="230" t="s">
        <v>2564</v>
      </c>
      <c r="K145" s="230" t="s">
        <v>125</v>
      </c>
      <c r="L145" s="230">
        <v>5430</v>
      </c>
      <c r="M145" s="241" t="s">
        <v>125</v>
      </c>
      <c r="N145" s="233">
        <v>-1000</v>
      </c>
      <c r="O145" s="245">
        <f>SUBTOTAL(9,N139:N145)</f>
        <v>-18511353</v>
      </c>
      <c r="P145" s="231"/>
    </row>
    <row r="146" spans="1:17" s="230" customFormat="1" ht="14.7" customHeight="1" x14ac:dyDescent="0.3">
      <c r="A146" s="236" t="s">
        <v>266</v>
      </c>
      <c r="B146" s="230" t="s">
        <v>268</v>
      </c>
      <c r="C146" s="230">
        <v>4100</v>
      </c>
      <c r="D146" s="230" t="s">
        <v>2564</v>
      </c>
      <c r="E146" s="230">
        <v>5420</v>
      </c>
      <c r="F146" s="230" t="s">
        <v>2599</v>
      </c>
      <c r="G146" s="232">
        <v>-97475</v>
      </c>
      <c r="H146" s="230" t="s">
        <v>2582</v>
      </c>
      <c r="I146" s="230">
        <v>4100</v>
      </c>
      <c r="J146" s="230" t="s">
        <v>2564</v>
      </c>
      <c r="K146" s="230" t="s">
        <v>433</v>
      </c>
      <c r="L146" s="230">
        <v>5420</v>
      </c>
      <c r="M146" s="241" t="s">
        <v>2608</v>
      </c>
      <c r="N146" s="233">
        <v>-78227</v>
      </c>
      <c r="O146" s="245">
        <f>N146</f>
        <v>-78227</v>
      </c>
      <c r="P146" s="243">
        <f>O146</f>
        <v>-78227</v>
      </c>
    </row>
    <row r="147" spans="1:17" s="230" customFormat="1" ht="14.7" customHeight="1" x14ac:dyDescent="0.3">
      <c r="A147" s="236" t="s">
        <v>246</v>
      </c>
      <c r="B147" s="230" t="s">
        <v>249</v>
      </c>
      <c r="C147" s="230">
        <v>2210</v>
      </c>
      <c r="D147" s="230" t="s">
        <v>2601</v>
      </c>
      <c r="E147" s="230">
        <v>6100</v>
      </c>
      <c r="F147" s="230" t="s">
        <v>2584</v>
      </c>
      <c r="G147" s="232">
        <v>-94500</v>
      </c>
      <c r="H147" s="230" t="s">
        <v>2582</v>
      </c>
      <c r="I147" s="230">
        <v>2210</v>
      </c>
      <c r="J147" s="230" t="s">
        <v>2601</v>
      </c>
      <c r="K147" s="230" t="s">
        <v>433</v>
      </c>
      <c r="L147" s="230">
        <v>6100</v>
      </c>
      <c r="M147" s="230" t="s">
        <v>2599</v>
      </c>
      <c r="N147" s="247">
        <v>-97475</v>
      </c>
      <c r="O147" s="245"/>
      <c r="P147" s="231"/>
    </row>
    <row r="148" spans="1:17" s="230" customFormat="1" ht="14.7" customHeight="1" x14ac:dyDescent="0.3">
      <c r="A148" s="236" t="s">
        <v>277</v>
      </c>
      <c r="B148" s="230" t="s">
        <v>2602</v>
      </c>
      <c r="C148" s="230">
        <v>4210</v>
      </c>
      <c r="D148" s="230" t="s">
        <v>2603</v>
      </c>
      <c r="E148" s="230">
        <v>6300</v>
      </c>
      <c r="F148" s="230" t="s">
        <v>2590</v>
      </c>
      <c r="G148" s="232">
        <v>-100000</v>
      </c>
      <c r="H148" s="230" t="s">
        <v>2546</v>
      </c>
      <c r="I148" s="230">
        <v>4210</v>
      </c>
      <c r="J148" s="230" t="s">
        <v>2603</v>
      </c>
      <c r="K148" s="230" t="s">
        <v>2580</v>
      </c>
      <c r="L148" s="230">
        <v>6300</v>
      </c>
      <c r="M148" s="230" t="s">
        <v>2548</v>
      </c>
      <c r="N148" s="233">
        <v>-2595522</v>
      </c>
      <c r="O148" s="245"/>
      <c r="P148" s="231"/>
    </row>
    <row r="149" spans="1:17" s="230" customFormat="1" ht="14.7" customHeight="1" x14ac:dyDescent="0.3">
      <c r="A149" s="230" t="s">
        <v>305</v>
      </c>
      <c r="B149" s="230" t="s">
        <v>307</v>
      </c>
      <c r="C149" s="230">
        <v>5130</v>
      </c>
      <c r="D149" s="230" t="s">
        <v>2606</v>
      </c>
      <c r="E149" s="230">
        <v>7020</v>
      </c>
      <c r="F149" s="230" t="s">
        <v>2608</v>
      </c>
      <c r="G149" s="232">
        <v>-78227</v>
      </c>
      <c r="H149" s="230" t="s">
        <v>2546</v>
      </c>
      <c r="I149" s="230">
        <v>5130</v>
      </c>
      <c r="J149" s="230" t="s">
        <v>2606</v>
      </c>
      <c r="K149" s="230" t="s">
        <v>2580</v>
      </c>
      <c r="L149" s="230">
        <v>7020</v>
      </c>
      <c r="M149" s="241" t="s">
        <v>2548</v>
      </c>
      <c r="N149" s="233">
        <v>-677749</v>
      </c>
      <c r="O149" s="245">
        <f>SUM(N148:N149)</f>
        <v>-3273271</v>
      </c>
      <c r="P149" s="231"/>
    </row>
    <row r="150" spans="1:17" s="230" customFormat="1" ht="14.7" customHeight="1" x14ac:dyDescent="0.3">
      <c r="A150" s="236" t="s">
        <v>271</v>
      </c>
      <c r="B150" s="230" t="s">
        <v>272</v>
      </c>
      <c r="C150" s="230">
        <v>4100</v>
      </c>
      <c r="D150" s="230" t="s">
        <v>2564</v>
      </c>
      <c r="E150" s="230">
        <v>5431</v>
      </c>
      <c r="F150" s="230" t="s">
        <v>2609</v>
      </c>
      <c r="G150" s="232">
        <v>-109238</v>
      </c>
      <c r="H150" s="230" t="s">
        <v>2577</v>
      </c>
      <c r="I150" s="230">
        <v>4100</v>
      </c>
      <c r="J150" s="230" t="s">
        <v>2564</v>
      </c>
      <c r="K150" s="230" t="s">
        <v>125</v>
      </c>
      <c r="L150" s="230">
        <v>5431</v>
      </c>
      <c r="M150" s="230" t="s">
        <v>2632</v>
      </c>
      <c r="N150" s="247">
        <v>-25000</v>
      </c>
      <c r="O150" s="245"/>
      <c r="P150" s="231"/>
    </row>
    <row r="151" spans="1:17" s="230" customFormat="1" ht="14.7" customHeight="1" x14ac:dyDescent="0.3">
      <c r="A151" s="230" t="s">
        <v>417</v>
      </c>
      <c r="B151" s="230" t="s">
        <v>418</v>
      </c>
      <c r="C151" s="230">
        <v>1100</v>
      </c>
      <c r="D151" s="230" t="s">
        <v>2542</v>
      </c>
      <c r="E151" s="230">
        <v>1000</v>
      </c>
      <c r="F151" s="230" t="s">
        <v>2615</v>
      </c>
      <c r="G151" s="238"/>
      <c r="H151" s="230" t="s">
        <v>2577</v>
      </c>
      <c r="I151" s="230">
        <v>1100</v>
      </c>
      <c r="J151" s="230" t="s">
        <v>2542</v>
      </c>
      <c r="K151" s="230" t="s">
        <v>125</v>
      </c>
      <c r="L151" s="230">
        <v>1000</v>
      </c>
      <c r="M151" s="230" t="s">
        <v>2632</v>
      </c>
      <c r="N151" s="248">
        <v>-25000</v>
      </c>
      <c r="O151" s="245"/>
      <c r="P151" s="231"/>
    </row>
    <row r="152" spans="1:17" s="230" customFormat="1" ht="14.7" customHeight="1" x14ac:dyDescent="0.3">
      <c r="A152" s="236" t="s">
        <v>275</v>
      </c>
      <c r="B152" s="230" t="s">
        <v>276</v>
      </c>
      <c r="C152" s="230">
        <v>4100</v>
      </c>
      <c r="D152" s="230" t="s">
        <v>2564</v>
      </c>
      <c r="E152" s="230">
        <v>6200</v>
      </c>
      <c r="F152" s="230" t="s">
        <v>2618</v>
      </c>
      <c r="G152" s="232">
        <v>-65000</v>
      </c>
      <c r="H152" s="230" t="s">
        <v>2577</v>
      </c>
      <c r="I152" s="230">
        <v>4100</v>
      </c>
      <c r="J152" s="230" t="s">
        <v>2564</v>
      </c>
      <c r="K152" s="230" t="s">
        <v>125</v>
      </c>
      <c r="L152" s="230">
        <v>6200</v>
      </c>
      <c r="M152" s="230" t="s">
        <v>2632</v>
      </c>
      <c r="N152" s="247">
        <v>-1953</v>
      </c>
      <c r="O152" s="245"/>
      <c r="P152" s="231"/>
    </row>
    <row r="153" spans="1:17" s="230" customFormat="1" ht="14.7" customHeight="1" x14ac:dyDescent="0.3">
      <c r="A153" s="230" t="s">
        <v>417</v>
      </c>
      <c r="B153" s="230" t="s">
        <v>418</v>
      </c>
      <c r="C153" s="230">
        <v>1100</v>
      </c>
      <c r="D153" s="230" t="s">
        <v>2542</v>
      </c>
      <c r="E153" s="230">
        <v>1000</v>
      </c>
      <c r="F153" s="230" t="s">
        <v>2615</v>
      </c>
      <c r="G153" s="232">
        <v>-50000</v>
      </c>
      <c r="H153" s="230" t="s">
        <v>2577</v>
      </c>
      <c r="I153" s="230">
        <v>1100</v>
      </c>
      <c r="J153" s="230" t="s">
        <v>2542</v>
      </c>
      <c r="K153" s="230" t="s">
        <v>125</v>
      </c>
      <c r="L153" s="230">
        <v>1000</v>
      </c>
      <c r="M153" s="230" t="s">
        <v>2566</v>
      </c>
      <c r="N153" s="247">
        <v>-568895</v>
      </c>
      <c r="O153" s="245"/>
      <c r="P153" s="231"/>
    </row>
    <row r="154" spans="1:17" s="230" customFormat="1" ht="14.7" customHeight="1" x14ac:dyDescent="0.3">
      <c r="A154" s="230" t="s">
        <v>331</v>
      </c>
      <c r="B154" s="230" t="s">
        <v>332</v>
      </c>
      <c r="C154" s="230">
        <v>4330</v>
      </c>
      <c r="D154" s="230" t="s">
        <v>2620</v>
      </c>
      <c r="E154" s="230">
        <v>2000</v>
      </c>
      <c r="F154" s="230" t="s">
        <v>2558</v>
      </c>
      <c r="G154" s="232">
        <v>-43328.000000000044</v>
      </c>
      <c r="I154" s="230">
        <v>4330</v>
      </c>
      <c r="J154" s="230" t="s">
        <v>2620</v>
      </c>
      <c r="L154" s="230">
        <v>2000</v>
      </c>
      <c r="M154" s="230" t="s">
        <v>2597</v>
      </c>
      <c r="N154" s="247">
        <v>-129797</v>
      </c>
      <c r="O154" s="245"/>
      <c r="P154" s="231"/>
    </row>
    <row r="155" spans="1:17" s="230" customFormat="1" ht="14.7" customHeight="1" x14ac:dyDescent="0.3">
      <c r="A155" s="230" t="s">
        <v>335</v>
      </c>
      <c r="B155" s="230" t="s">
        <v>336</v>
      </c>
      <c r="C155" s="230">
        <v>6200</v>
      </c>
      <c r="D155" s="230" t="s">
        <v>2622</v>
      </c>
      <c r="E155" s="230">
        <v>5200</v>
      </c>
      <c r="F155" s="230" t="s">
        <v>2623</v>
      </c>
      <c r="G155" s="232">
        <v>-36000</v>
      </c>
      <c r="I155" s="230">
        <v>6200</v>
      </c>
      <c r="J155" s="230" t="s">
        <v>2622</v>
      </c>
      <c r="L155" s="230">
        <v>5200</v>
      </c>
      <c r="M155" s="230" t="s">
        <v>2609</v>
      </c>
      <c r="N155" s="247">
        <v>-109238</v>
      </c>
      <c r="O155" s="245"/>
      <c r="P155" s="231"/>
    </row>
    <row r="156" spans="1:17" s="230" customFormat="1" ht="14.7" customHeight="1" x14ac:dyDescent="0.3">
      <c r="A156" s="230" t="s">
        <v>399</v>
      </c>
      <c r="B156" s="230" t="s">
        <v>400</v>
      </c>
      <c r="C156" s="230">
        <v>6501</v>
      </c>
      <c r="D156" s="230" t="s">
        <v>2626</v>
      </c>
      <c r="E156" s="230">
        <v>4000</v>
      </c>
      <c r="F156" s="230" t="s">
        <v>125</v>
      </c>
      <c r="G156" s="232">
        <v>-35000</v>
      </c>
      <c r="I156" s="230">
        <v>6501</v>
      </c>
      <c r="J156" s="230" t="s">
        <v>2626</v>
      </c>
      <c r="L156" s="230">
        <v>4000</v>
      </c>
      <c r="M156" s="230" t="s">
        <v>2574</v>
      </c>
      <c r="N156" s="247">
        <v>-511977</v>
      </c>
      <c r="O156" s="245"/>
      <c r="P156" s="231"/>
    </row>
    <row r="157" spans="1:17" s="230" customFormat="1" ht="14.7" customHeight="1" x14ac:dyDescent="0.3">
      <c r="A157" s="236" t="s">
        <v>329</v>
      </c>
      <c r="B157" s="230" t="s">
        <v>330</v>
      </c>
      <c r="C157" s="230">
        <v>4221</v>
      </c>
      <c r="D157" s="230" t="s">
        <v>2579</v>
      </c>
      <c r="E157" s="230">
        <v>5500</v>
      </c>
      <c r="F157" s="230" t="s">
        <v>2581</v>
      </c>
      <c r="G157" s="232">
        <v>-33360</v>
      </c>
      <c r="I157" s="230">
        <v>4221</v>
      </c>
      <c r="J157" s="230" t="s">
        <v>2579</v>
      </c>
      <c r="L157" s="230">
        <v>5500</v>
      </c>
      <c r="M157" s="230" t="s">
        <v>2574</v>
      </c>
      <c r="N157" s="247">
        <v>-205000</v>
      </c>
      <c r="O157" s="245"/>
    </row>
    <row r="158" spans="1:17" s="230" customFormat="1" ht="14.7" customHeight="1" x14ac:dyDescent="0.3">
      <c r="A158" s="236" t="s">
        <v>299</v>
      </c>
      <c r="B158" s="230" t="s">
        <v>2628</v>
      </c>
      <c r="C158" s="230">
        <v>3300</v>
      </c>
      <c r="D158" s="230" t="s">
        <v>2629</v>
      </c>
      <c r="E158" s="230">
        <v>7030</v>
      </c>
      <c r="F158" s="230" t="s">
        <v>2630</v>
      </c>
      <c r="G158" s="232">
        <v>-30000</v>
      </c>
      <c r="I158" s="230">
        <v>3300</v>
      </c>
      <c r="J158" s="230" t="s">
        <v>2629</v>
      </c>
      <c r="L158" s="230">
        <v>7030</v>
      </c>
      <c r="M158" s="230" t="s">
        <v>2623</v>
      </c>
      <c r="N158" s="248">
        <v>-36000</v>
      </c>
      <c r="O158" s="245"/>
      <c r="P158" s="231"/>
    </row>
    <row r="159" spans="1:17" s="230" customFormat="1" ht="14.7" customHeight="1" x14ac:dyDescent="0.3">
      <c r="A159" s="230" t="s">
        <v>339</v>
      </c>
      <c r="B159" s="230" t="s">
        <v>340</v>
      </c>
      <c r="C159" s="230">
        <v>6302</v>
      </c>
      <c r="D159" s="230" t="s">
        <v>2631</v>
      </c>
      <c r="E159" s="230">
        <v>5100</v>
      </c>
      <c r="F159" s="230" t="s">
        <v>2632</v>
      </c>
      <c r="G159" s="232">
        <v>-25000</v>
      </c>
      <c r="I159" s="230">
        <v>6302</v>
      </c>
      <c r="J159" s="230" t="s">
        <v>2631</v>
      </c>
      <c r="L159" s="230">
        <v>5100</v>
      </c>
      <c r="M159" s="230" t="s">
        <v>2581</v>
      </c>
      <c r="N159" s="247">
        <v>-391435</v>
      </c>
      <c r="O159" s="245"/>
      <c r="P159" s="231"/>
    </row>
    <row r="160" spans="1:17" s="230" customFormat="1" ht="14.7" customHeight="1" x14ac:dyDescent="0.3">
      <c r="A160" s="230" t="s">
        <v>337</v>
      </c>
      <c r="B160" s="230" t="s">
        <v>338</v>
      </c>
      <c r="C160" s="230">
        <v>6301</v>
      </c>
      <c r="D160" s="230" t="s">
        <v>2634</v>
      </c>
      <c r="E160" s="230">
        <v>5100</v>
      </c>
      <c r="F160" s="230" t="s">
        <v>2632</v>
      </c>
      <c r="G160" s="232">
        <v>-25000</v>
      </c>
      <c r="I160" s="230">
        <v>6301</v>
      </c>
      <c r="J160" s="230" t="s">
        <v>2634</v>
      </c>
      <c r="L160" s="230">
        <v>5100</v>
      </c>
      <c r="M160" s="241" t="s">
        <v>2581</v>
      </c>
      <c r="N160" s="247">
        <v>-33360</v>
      </c>
      <c r="O160" s="253">
        <f>SUM(N150:N160)+N147</f>
        <v>-2135130</v>
      </c>
      <c r="P160" s="254">
        <f>+N154+N155++N156+N157+N159+N160</f>
        <v>-1380807</v>
      </c>
      <c r="Q160" s="240">
        <f>+O160-P160</f>
        <v>-754323</v>
      </c>
    </row>
    <row r="161" spans="1:16" s="230" customFormat="1" ht="14.7" customHeight="1" x14ac:dyDescent="0.3">
      <c r="A161" s="236" t="s">
        <v>295</v>
      </c>
      <c r="B161" s="230" t="s">
        <v>296</v>
      </c>
      <c r="C161" s="230">
        <v>6400</v>
      </c>
      <c r="D161" s="230" t="s">
        <v>2572</v>
      </c>
      <c r="E161" s="230">
        <v>3000</v>
      </c>
      <c r="F161" s="230" t="s">
        <v>2635</v>
      </c>
      <c r="G161" s="232">
        <v>-23538</v>
      </c>
      <c r="I161" s="230">
        <v>6400</v>
      </c>
      <c r="J161" s="230" t="s">
        <v>2572</v>
      </c>
      <c r="L161" s="230">
        <v>3000</v>
      </c>
      <c r="M161" s="230" t="s">
        <v>2615</v>
      </c>
      <c r="N161" s="233"/>
      <c r="O161" s="245"/>
      <c r="P161" s="231"/>
    </row>
    <row r="162" spans="1:16" s="230" customFormat="1" ht="14.7" customHeight="1" x14ac:dyDescent="0.3">
      <c r="A162" s="230" t="s">
        <v>250</v>
      </c>
      <c r="B162" s="230" t="s">
        <v>2636</v>
      </c>
      <c r="C162" s="230">
        <v>3110</v>
      </c>
      <c r="D162" s="230" t="s">
        <v>2557</v>
      </c>
      <c r="E162" s="230">
        <v>6100</v>
      </c>
      <c r="F162" s="230" t="s">
        <v>2584</v>
      </c>
      <c r="G162" s="232">
        <v>-23180</v>
      </c>
      <c r="I162" s="230">
        <v>3110</v>
      </c>
      <c r="J162" s="230" t="s">
        <v>2557</v>
      </c>
      <c r="L162" s="230">
        <v>6100</v>
      </c>
      <c r="M162" s="230" t="s">
        <v>2615</v>
      </c>
      <c r="N162" s="233">
        <v>-50000</v>
      </c>
      <c r="O162" s="245"/>
      <c r="P162" s="231"/>
    </row>
    <row r="163" spans="1:16" s="230" customFormat="1" ht="14.7" customHeight="1" x14ac:dyDescent="0.3">
      <c r="A163" s="230" t="s">
        <v>417</v>
      </c>
      <c r="B163" s="230" t="s">
        <v>418</v>
      </c>
      <c r="C163" s="230">
        <v>1100</v>
      </c>
      <c r="D163" s="230" t="s">
        <v>2542</v>
      </c>
      <c r="E163" s="230">
        <v>1000</v>
      </c>
      <c r="F163" s="230" t="s">
        <v>2615</v>
      </c>
      <c r="G163" s="232">
        <v>-8000</v>
      </c>
      <c r="I163" s="230">
        <v>1100</v>
      </c>
      <c r="J163" s="230" t="s">
        <v>2542</v>
      </c>
      <c r="L163" s="230">
        <v>1000</v>
      </c>
      <c r="M163" s="230" t="s">
        <v>2615</v>
      </c>
      <c r="N163" s="244">
        <v>-8000</v>
      </c>
      <c r="O163" s="245">
        <f>SUM(N162:N163)</f>
        <v>-58000</v>
      </c>
      <c r="P163" s="243">
        <f>O163</f>
        <v>-58000</v>
      </c>
    </row>
    <row r="164" spans="1:16" s="230" customFormat="1" ht="14.7" customHeight="1" x14ac:dyDescent="0.3">
      <c r="A164" s="236" t="s">
        <v>259</v>
      </c>
      <c r="B164" s="230" t="s">
        <v>261</v>
      </c>
      <c r="C164" s="230">
        <v>3300</v>
      </c>
      <c r="D164" s="230" t="s">
        <v>2629</v>
      </c>
      <c r="E164" s="230">
        <v>7030</v>
      </c>
      <c r="F164" s="230" t="s">
        <v>2630</v>
      </c>
      <c r="G164" s="232">
        <v>-7200</v>
      </c>
      <c r="I164" s="230">
        <v>3300</v>
      </c>
      <c r="J164" s="230" t="s">
        <v>2629</v>
      </c>
      <c r="L164" s="230">
        <v>7030</v>
      </c>
      <c r="M164" s="230" t="s">
        <v>2635</v>
      </c>
      <c r="N164" s="244">
        <v>-23538</v>
      </c>
      <c r="O164" s="245">
        <f>N164</f>
        <v>-23538</v>
      </c>
      <c r="P164" s="243">
        <f>O164</f>
        <v>-23538</v>
      </c>
    </row>
    <row r="165" spans="1:16" s="230" customFormat="1" ht="14.7" customHeight="1" x14ac:dyDescent="0.3">
      <c r="A165" s="230" t="s">
        <v>1025</v>
      </c>
      <c r="B165" s="230" t="s">
        <v>2639</v>
      </c>
      <c r="C165" s="230">
        <v>6301</v>
      </c>
      <c r="D165" s="230" t="s">
        <v>2634</v>
      </c>
      <c r="E165" s="230">
        <v>4000</v>
      </c>
      <c r="F165" s="230" t="s">
        <v>125</v>
      </c>
      <c r="G165" s="232">
        <v>-7000</v>
      </c>
      <c r="I165" s="230">
        <v>6301</v>
      </c>
      <c r="J165" s="230" t="s">
        <v>2634</v>
      </c>
      <c r="L165" s="230">
        <v>4000</v>
      </c>
      <c r="M165" s="230" t="s">
        <v>2584</v>
      </c>
      <c r="N165" s="233">
        <v>-213520</v>
      </c>
      <c r="O165" s="245"/>
      <c r="P165" s="231"/>
    </row>
    <row r="166" spans="1:16" s="230" customFormat="1" ht="14.7" customHeight="1" x14ac:dyDescent="0.3">
      <c r="A166" s="230" t="s">
        <v>292</v>
      </c>
      <c r="B166" s="230" t="s">
        <v>2548</v>
      </c>
      <c r="C166" s="230">
        <v>6302</v>
      </c>
      <c r="D166" s="230" t="s">
        <v>2631</v>
      </c>
      <c r="E166" s="230">
        <v>5100</v>
      </c>
      <c r="F166" s="230" t="s">
        <v>2632</v>
      </c>
      <c r="G166" s="232">
        <v>-1953</v>
      </c>
      <c r="I166" s="230">
        <v>6302</v>
      </c>
      <c r="J166" s="230" t="s">
        <v>2631</v>
      </c>
      <c r="L166" s="230">
        <v>5100</v>
      </c>
      <c r="M166" s="230" t="s">
        <v>2584</v>
      </c>
      <c r="N166" s="233">
        <v>-146889</v>
      </c>
      <c r="O166" s="245"/>
      <c r="P166" s="231"/>
    </row>
    <row r="167" spans="1:16" s="230" customFormat="1" ht="14.7" customHeight="1" x14ac:dyDescent="0.3">
      <c r="A167" s="230" t="s">
        <v>441</v>
      </c>
      <c r="B167" s="230" t="s">
        <v>442</v>
      </c>
      <c r="C167" s="230">
        <v>4330</v>
      </c>
      <c r="D167" s="230" t="s">
        <v>2620</v>
      </c>
      <c r="E167" s="230">
        <v>2000</v>
      </c>
      <c r="F167" s="230" t="s">
        <v>2558</v>
      </c>
      <c r="G167" s="232">
        <v>-1000</v>
      </c>
      <c r="I167" s="230">
        <v>4330</v>
      </c>
      <c r="J167" s="230" t="s">
        <v>2620</v>
      </c>
      <c r="L167" s="230">
        <v>2000</v>
      </c>
      <c r="M167" s="230" t="s">
        <v>2584</v>
      </c>
      <c r="N167" s="233">
        <v>-94500</v>
      </c>
      <c r="O167" s="245"/>
      <c r="P167" s="231"/>
    </row>
    <row r="168" spans="1:16" s="230" customFormat="1" ht="14.7" customHeight="1" x14ac:dyDescent="0.3">
      <c r="A168" s="230" t="s">
        <v>1029</v>
      </c>
      <c r="B168" s="230" t="s">
        <v>2643</v>
      </c>
      <c r="C168" s="230">
        <v>6407</v>
      </c>
      <c r="D168" s="230" t="s">
        <v>2644</v>
      </c>
      <c r="E168" s="230">
        <v>4000</v>
      </c>
      <c r="F168" s="230" t="s">
        <v>125</v>
      </c>
      <c r="G168" s="232">
        <v>-1000</v>
      </c>
      <c r="I168" s="230">
        <v>6407</v>
      </c>
      <c r="J168" s="230" t="s">
        <v>2644</v>
      </c>
      <c r="L168" s="230">
        <v>4000</v>
      </c>
      <c r="M168" s="230" t="s">
        <v>2584</v>
      </c>
      <c r="N168" s="244">
        <v>-23180</v>
      </c>
      <c r="O168" s="245">
        <f>SUM(N165:N168)</f>
        <v>-478089</v>
      </c>
      <c r="P168" s="243">
        <f>O168</f>
        <v>-478089</v>
      </c>
    </row>
    <row r="169" spans="1:16" s="230" customFormat="1" ht="14.7" customHeight="1" x14ac:dyDescent="0.3">
      <c r="N169" s="233"/>
      <c r="P169" s="231"/>
    </row>
    <row r="170" spans="1:16" s="230" customFormat="1" ht="14.7" customHeight="1" x14ac:dyDescent="0.3">
      <c r="F170" s="236"/>
      <c r="N170" s="233">
        <f>SUM(N130:N169)</f>
        <v>-26351074</v>
      </c>
      <c r="O170" s="233">
        <f>SUM(O130:O169)</f>
        <v>-26351074</v>
      </c>
      <c r="P170" s="233">
        <f>SUM(P130:P169)</f>
        <v>-3812127</v>
      </c>
    </row>
    <row r="171" spans="1:16" s="230" customFormat="1" ht="14.7" customHeight="1" x14ac:dyDescent="0.3">
      <c r="F171" s="236"/>
      <c r="N171" s="233"/>
      <c r="P171" s="231"/>
    </row>
    <row r="172" spans="1:16" s="230" customFormat="1" x14ac:dyDescent="0.3">
      <c r="A172" s="236"/>
      <c r="F172" s="236"/>
      <c r="N172" s="244"/>
      <c r="O172" s="240">
        <f>+O170+26429301</f>
        <v>78227</v>
      </c>
      <c r="P172" s="231"/>
    </row>
    <row r="173" spans="1:16" s="230" customFormat="1" x14ac:dyDescent="0.3">
      <c r="F173" s="236"/>
      <c r="N173" s="233"/>
      <c r="P173" s="231"/>
    </row>
    <row r="174" spans="1:16" s="230" customFormat="1" x14ac:dyDescent="0.3">
      <c r="N174" s="233"/>
    </row>
    <row r="175" spans="1:16" s="230" customFormat="1" x14ac:dyDescent="0.3">
      <c r="A175" s="236"/>
      <c r="F175" s="236"/>
      <c r="N175" s="244"/>
      <c r="P175" s="231"/>
    </row>
    <row r="176" spans="1:16" s="230" customFormat="1" x14ac:dyDescent="0.3">
      <c r="F176" s="236"/>
      <c r="N176" s="233"/>
      <c r="P176" s="231"/>
    </row>
    <row r="177" spans="1:16" s="230" customFormat="1" x14ac:dyDescent="0.3">
      <c r="N177" s="244"/>
      <c r="P177" s="231"/>
    </row>
    <row r="178" spans="1:16" s="230" customFormat="1" x14ac:dyDescent="0.3">
      <c r="A178" s="236"/>
      <c r="F178" s="236"/>
      <c r="N178" s="244"/>
      <c r="P178" s="231"/>
    </row>
    <row r="179" spans="1:16" s="230" customFormat="1" x14ac:dyDescent="0.3">
      <c r="A179" s="236"/>
      <c r="F179" s="231"/>
      <c r="N179" s="233"/>
    </row>
    <row r="180" spans="1:16" s="230" customFormat="1" ht="14.7" customHeight="1" x14ac:dyDescent="0.3">
      <c r="F180" s="236"/>
      <c r="N180" s="244"/>
      <c r="P180" s="231"/>
    </row>
    <row r="181" spans="1:16" s="230" customFormat="1" ht="14.7" customHeight="1" x14ac:dyDescent="0.3">
      <c r="F181" s="236"/>
      <c r="N181" s="244"/>
      <c r="P181" s="231"/>
    </row>
    <row r="182" spans="1:16" s="230" customFormat="1" ht="14.7" customHeight="1" x14ac:dyDescent="0.3">
      <c r="A182" s="236"/>
      <c r="F182" s="236"/>
      <c r="N182" s="244"/>
      <c r="P182" s="231"/>
    </row>
    <row r="183" spans="1:16" s="230" customFormat="1" x14ac:dyDescent="0.3">
      <c r="N183" s="233"/>
    </row>
    <row r="184" spans="1:16" s="230" customFormat="1" x14ac:dyDescent="0.3">
      <c r="F184" s="236"/>
      <c r="N184" s="244"/>
      <c r="P184" s="231"/>
    </row>
    <row r="185" spans="1:16" s="230" customFormat="1" x14ac:dyDescent="0.3">
      <c r="N185" s="233"/>
    </row>
    <row r="186" spans="1:16" s="230" customFormat="1" x14ac:dyDescent="0.3">
      <c r="A186" s="236"/>
      <c r="F186" s="236"/>
      <c r="N186" s="233"/>
      <c r="P186" s="231"/>
    </row>
    <row r="187" spans="1:16" s="230" customFormat="1" x14ac:dyDescent="0.3">
      <c r="A187" s="236"/>
      <c r="F187" s="236"/>
      <c r="N187" s="233"/>
      <c r="P187" s="231"/>
    </row>
    <row r="188" spans="1:16" s="230" customFormat="1" x14ac:dyDescent="0.3">
      <c r="F188" s="231"/>
      <c r="N188" s="233"/>
      <c r="P188" s="231"/>
    </row>
    <row r="189" spans="1:16" s="230" customFormat="1" x14ac:dyDescent="0.3">
      <c r="A189" s="231"/>
      <c r="F189" s="231"/>
      <c r="N189" s="233"/>
      <c r="P189" s="231"/>
    </row>
    <row r="190" spans="1:16" s="230" customFormat="1" x14ac:dyDescent="0.3">
      <c r="A190" s="236"/>
      <c r="F190" s="236"/>
      <c r="N190" s="233"/>
    </row>
    <row r="191" spans="1:16" s="230" customFormat="1" x14ac:dyDescent="0.3">
      <c r="A191" s="236"/>
      <c r="F191" s="236"/>
      <c r="N191" s="233"/>
      <c r="P191" s="231"/>
    </row>
    <row r="192" spans="1:16" s="230" customFormat="1" x14ac:dyDescent="0.3">
      <c r="A192" s="236"/>
      <c r="F192" s="236"/>
      <c r="N192" s="233"/>
      <c r="P192" s="231"/>
    </row>
    <row r="193" spans="1:16" s="230" customFormat="1" x14ac:dyDescent="0.3">
      <c r="A193" s="236"/>
      <c r="F193" s="236"/>
      <c r="N193" s="233"/>
      <c r="P193" s="231"/>
    </row>
    <row r="194" spans="1:16" s="230" customFormat="1" x14ac:dyDescent="0.3">
      <c r="N194" s="233"/>
      <c r="P194" s="231"/>
    </row>
    <row r="195" spans="1:16" s="230" customFormat="1" x14ac:dyDescent="0.3">
      <c r="A195" s="236"/>
      <c r="F195" s="236"/>
      <c r="N195" s="233"/>
    </row>
    <row r="196" spans="1:16" s="230" customFormat="1" ht="14.7" customHeight="1" x14ac:dyDescent="0.3">
      <c r="N196" s="233"/>
    </row>
    <row r="197" spans="1:16" s="230" customFormat="1" x14ac:dyDescent="0.3">
      <c r="N197" s="233"/>
      <c r="P197" s="231"/>
    </row>
    <row r="198" spans="1:16" s="230" customFormat="1" x14ac:dyDescent="0.3">
      <c r="F198" s="236"/>
      <c r="N198" s="233"/>
      <c r="P198" s="231"/>
    </row>
    <row r="199" spans="1:16" s="230" customFormat="1" ht="14.7" customHeight="1" x14ac:dyDescent="0.3">
      <c r="F199" s="236"/>
      <c r="N199" s="233"/>
      <c r="P199" s="231"/>
    </row>
    <row r="200" spans="1:16" s="230" customFormat="1" x14ac:dyDescent="0.3">
      <c r="F200" s="236"/>
      <c r="N200" s="233"/>
      <c r="P200" s="231"/>
    </row>
    <row r="201" spans="1:16" s="230" customFormat="1" x14ac:dyDescent="0.3">
      <c r="N201" s="233"/>
      <c r="P201" s="231"/>
    </row>
    <row r="202" spans="1:16" s="230" customFormat="1" ht="14.7" customHeight="1" x14ac:dyDescent="0.3">
      <c r="A202" s="236"/>
      <c r="F202" s="236"/>
      <c r="N202" s="244"/>
      <c r="P202" s="231"/>
    </row>
    <row r="203" spans="1:16" s="230" customFormat="1" x14ac:dyDescent="0.3">
      <c r="A203" s="236"/>
      <c r="F203" s="236"/>
      <c r="N203" s="244"/>
      <c r="P203" s="231"/>
    </row>
    <row r="204" spans="1:16" s="230" customFormat="1" ht="14.7" customHeight="1" x14ac:dyDescent="0.3">
      <c r="A204" s="236"/>
      <c r="F204" s="236"/>
      <c r="N204" s="244"/>
      <c r="P204" s="231"/>
    </row>
    <row r="205" spans="1:16" s="230" customFormat="1" ht="14.7" customHeight="1" x14ac:dyDescent="0.3">
      <c r="A205" s="236"/>
      <c r="F205" s="236"/>
      <c r="N205" s="233"/>
      <c r="P205" s="231"/>
    </row>
    <row r="206" spans="1:16" s="230" customFormat="1" ht="14.7" customHeight="1" x14ac:dyDescent="0.3">
      <c r="F206" s="236"/>
      <c r="N206" s="244"/>
      <c r="P206" s="231"/>
    </row>
    <row r="207" spans="1:16" s="230" customFormat="1" ht="14.7" customHeight="1" x14ac:dyDescent="0.3">
      <c r="A207" s="236"/>
      <c r="F207" s="236"/>
      <c r="N207" s="244"/>
      <c r="P207" s="231"/>
    </row>
    <row r="208" spans="1:16" s="230" customFormat="1" ht="14.7" customHeight="1" x14ac:dyDescent="0.3">
      <c r="A208" s="236"/>
      <c r="F208" s="236"/>
      <c r="N208" s="244"/>
      <c r="P208" s="231"/>
    </row>
    <row r="209" spans="1:16" s="230" customFormat="1" ht="14.7" customHeight="1" x14ac:dyDescent="0.3">
      <c r="A209" s="236"/>
      <c r="F209" s="236"/>
      <c r="N209" s="233"/>
    </row>
    <row r="210" spans="1:16" s="230" customFormat="1" ht="14.7" customHeight="1" x14ac:dyDescent="0.3">
      <c r="N210" s="233"/>
    </row>
    <row r="211" spans="1:16" s="230" customFormat="1" ht="14.7" customHeight="1" x14ac:dyDescent="0.3">
      <c r="F211" s="236"/>
      <c r="N211" s="233"/>
      <c r="P211" s="231"/>
    </row>
    <row r="212" spans="1:16" s="230" customFormat="1" ht="14.7" customHeight="1" x14ac:dyDescent="0.3">
      <c r="A212" s="236"/>
      <c r="F212" s="236"/>
      <c r="N212" s="244"/>
      <c r="P212" s="231"/>
    </row>
    <row r="213" spans="1:16" s="230" customFormat="1" ht="14.7" customHeight="1" x14ac:dyDescent="0.3">
      <c r="A213" s="236"/>
      <c r="F213" s="236"/>
      <c r="N213" s="244"/>
      <c r="P213" s="231"/>
    </row>
    <row r="214" spans="1:16" s="230" customFormat="1" ht="14.7" customHeight="1" x14ac:dyDescent="0.3">
      <c r="A214" s="236"/>
      <c r="F214" s="236"/>
      <c r="N214" s="244"/>
      <c r="P214" s="231"/>
    </row>
    <row r="215" spans="1:16" s="230" customFormat="1" ht="14.7" customHeight="1" x14ac:dyDescent="0.3">
      <c r="A215" s="236"/>
      <c r="F215" s="236"/>
      <c r="N215" s="244"/>
      <c r="P215" s="231"/>
    </row>
    <row r="216" spans="1:16" s="230" customFormat="1" ht="14.7" customHeight="1" x14ac:dyDescent="0.3">
      <c r="A216" s="236"/>
      <c r="F216" s="236"/>
      <c r="N216" s="244"/>
      <c r="P216" s="231"/>
    </row>
    <row r="217" spans="1:16" s="230" customFormat="1" ht="14.7" customHeight="1" x14ac:dyDescent="0.3">
      <c r="F217" s="236"/>
      <c r="N217" s="244"/>
      <c r="P217" s="231"/>
    </row>
    <row r="218" spans="1:16" s="230" customFormat="1" ht="14.7" customHeight="1" x14ac:dyDescent="0.3">
      <c r="F218" s="236"/>
      <c r="N218" s="244"/>
      <c r="P218" s="231"/>
    </row>
    <row r="219" spans="1:16" s="230" customFormat="1" ht="14.7" customHeight="1" x14ac:dyDescent="0.3">
      <c r="N219" s="233"/>
      <c r="P219" s="231"/>
    </row>
    <row r="220" spans="1:16" s="230" customFormat="1" ht="14.7" customHeight="1" x14ac:dyDescent="0.3">
      <c r="A220" s="236"/>
      <c r="N220" s="244"/>
    </row>
    <row r="221" spans="1:16" s="230" customFormat="1" ht="14.7" customHeight="1" x14ac:dyDescent="0.3">
      <c r="A221" s="236"/>
      <c r="F221" s="236"/>
      <c r="N221" s="244"/>
      <c r="P221" s="231"/>
    </row>
    <row r="222" spans="1:16" s="230" customFormat="1" ht="14.7" customHeight="1" x14ac:dyDescent="0.3">
      <c r="A222" s="236"/>
      <c r="F222" s="236"/>
      <c r="N222" s="244"/>
      <c r="P222" s="231"/>
    </row>
    <row r="223" spans="1:16" s="230" customFormat="1" ht="14.7" customHeight="1" x14ac:dyDescent="0.3">
      <c r="A223" s="236"/>
      <c r="F223" s="236"/>
      <c r="N223" s="244"/>
      <c r="P223" s="231"/>
    </row>
    <row r="224" spans="1:16" s="230" customFormat="1" ht="14.7" customHeight="1" x14ac:dyDescent="0.3">
      <c r="N224" s="233"/>
    </row>
    <row r="225" spans="1:16" s="230" customFormat="1" ht="14.7" customHeight="1" x14ac:dyDescent="0.3">
      <c r="N225" s="233"/>
      <c r="P225" s="231"/>
    </row>
    <row r="226" spans="1:16" s="230" customFormat="1" ht="14.7" customHeight="1" x14ac:dyDescent="0.3">
      <c r="N226" s="233"/>
    </row>
    <row r="227" spans="1:16" s="230" customFormat="1" ht="14.7" customHeight="1" x14ac:dyDescent="0.3">
      <c r="N227" s="233"/>
      <c r="P227" s="231"/>
    </row>
    <row r="228" spans="1:16" s="230" customFormat="1" ht="14.7" customHeight="1" x14ac:dyDescent="0.3">
      <c r="N228" s="251"/>
    </row>
    <row r="229" spans="1:16" s="230" customFormat="1" ht="14.7" customHeight="1" x14ac:dyDescent="0.3">
      <c r="N229" s="233"/>
    </row>
    <row r="230" spans="1:16" s="230" customFormat="1" ht="14.7" customHeight="1" x14ac:dyDescent="0.3">
      <c r="F230" s="236"/>
      <c r="N230" s="233"/>
      <c r="P230" s="231"/>
    </row>
    <row r="231" spans="1:16" s="230" customFormat="1" ht="14.7" customHeight="1" x14ac:dyDescent="0.3">
      <c r="N231" s="233"/>
      <c r="P231" s="231"/>
    </row>
    <row r="232" spans="1:16" s="230" customFormat="1" x14ac:dyDescent="0.3">
      <c r="A232" s="236"/>
      <c r="F232" s="236"/>
      <c r="N232" s="244"/>
      <c r="P232" s="231"/>
    </row>
    <row r="233" spans="1:16" s="230" customFormat="1" ht="14.7" customHeight="1" x14ac:dyDescent="0.3">
      <c r="A233" s="236"/>
      <c r="F233" s="236"/>
      <c r="N233" s="244"/>
      <c r="P233" s="231"/>
    </row>
    <row r="234" spans="1:16" s="230" customFormat="1" ht="14.7" customHeight="1" x14ac:dyDescent="0.3">
      <c r="A234" s="236"/>
      <c r="F234" s="236"/>
      <c r="N234" s="244"/>
      <c r="P234" s="231"/>
    </row>
    <row r="235" spans="1:16" s="230" customFormat="1" x14ac:dyDescent="0.3">
      <c r="A235" s="236"/>
      <c r="F235" s="236"/>
      <c r="N235" s="244"/>
      <c r="P235" s="231"/>
    </row>
    <row r="236" spans="1:16" s="230" customFormat="1" ht="14.7" customHeight="1" x14ac:dyDescent="0.3">
      <c r="N236" s="233"/>
    </row>
    <row r="237" spans="1:16" s="230" customFormat="1" ht="14.7" customHeight="1" x14ac:dyDescent="0.3">
      <c r="N237" s="244"/>
      <c r="P237" s="231"/>
    </row>
    <row r="238" spans="1:16" s="230" customFormat="1" ht="14.7" customHeight="1" x14ac:dyDescent="0.3">
      <c r="F238" s="236"/>
      <c r="N238" s="244"/>
      <c r="P238" s="231"/>
    </row>
    <row r="239" spans="1:16" s="230" customFormat="1" x14ac:dyDescent="0.3">
      <c r="F239" s="236"/>
      <c r="N239" s="244"/>
      <c r="P239" s="231"/>
    </row>
    <row r="240" spans="1:16" s="230" customFormat="1" ht="14.7" customHeight="1" x14ac:dyDescent="0.3">
      <c r="F240" s="231"/>
      <c r="N240" s="233"/>
      <c r="P240" s="231"/>
    </row>
    <row r="241" spans="1:16" s="230" customFormat="1" ht="14.7" customHeight="1" x14ac:dyDescent="0.3">
      <c r="A241" s="231"/>
      <c r="F241" s="231"/>
      <c r="N241" s="233"/>
      <c r="P241" s="231"/>
    </row>
    <row r="242" spans="1:16" s="230" customFormat="1" ht="14.7" customHeight="1" x14ac:dyDescent="0.3">
      <c r="A242" s="236"/>
      <c r="F242" s="236"/>
      <c r="N242" s="233"/>
    </row>
    <row r="243" spans="1:16" s="230" customFormat="1" ht="14.7" customHeight="1" x14ac:dyDescent="0.3">
      <c r="A243" s="231"/>
      <c r="F243" s="231"/>
      <c r="N243" s="233"/>
    </row>
    <row r="244" spans="1:16" s="230" customFormat="1" ht="14.7" customHeight="1" x14ac:dyDescent="0.3">
      <c r="N244" s="233"/>
    </row>
    <row r="245" spans="1:16" s="230" customFormat="1" ht="14.7" customHeight="1" x14ac:dyDescent="0.3">
      <c r="A245" s="231"/>
      <c r="F245" s="231"/>
      <c r="N245" s="233"/>
    </row>
    <row r="246" spans="1:16" s="230" customFormat="1" ht="14.7" customHeight="1" x14ac:dyDescent="0.3">
      <c r="F246" s="236"/>
      <c r="N246" s="244"/>
      <c r="P246" s="231"/>
    </row>
    <row r="247" spans="1:16" s="230" customFormat="1" x14ac:dyDescent="0.3">
      <c r="A247" s="236"/>
      <c r="F247" s="236"/>
      <c r="N247" s="244"/>
      <c r="P247" s="231"/>
    </row>
    <row r="248" spans="1:16" s="230" customFormat="1" ht="14.7" customHeight="1" x14ac:dyDescent="0.3">
      <c r="N248" s="233"/>
    </row>
    <row r="249" spans="1:16" s="230" customFormat="1" ht="14.7" customHeight="1" x14ac:dyDescent="0.3">
      <c r="A249" s="236"/>
      <c r="F249" s="236"/>
      <c r="N249" s="233"/>
    </row>
    <row r="250" spans="1:16" s="230" customFormat="1" ht="14.7" customHeight="1" x14ac:dyDescent="0.3">
      <c r="N250" s="244"/>
      <c r="P250" s="231"/>
    </row>
    <row r="251" spans="1:16" s="230" customFormat="1" ht="14.7" customHeight="1" x14ac:dyDescent="0.3">
      <c r="A251" s="236"/>
      <c r="F251" s="236"/>
      <c r="N251" s="244"/>
      <c r="P251" s="231"/>
    </row>
    <row r="252" spans="1:16" s="230" customFormat="1" ht="14.7" customHeight="1" x14ac:dyDescent="0.3">
      <c r="N252" s="244"/>
      <c r="P252" s="231"/>
    </row>
    <row r="253" spans="1:16" s="230" customFormat="1" ht="14.7" customHeight="1" x14ac:dyDescent="0.3">
      <c r="N253" s="244"/>
      <c r="P253" s="231"/>
    </row>
    <row r="254" spans="1:16" s="230" customFormat="1" ht="14.7" customHeight="1" x14ac:dyDescent="0.3">
      <c r="A254" s="236"/>
      <c r="F254" s="236"/>
      <c r="N254" s="244"/>
      <c r="P254" s="231"/>
    </row>
    <row r="255" spans="1:16" s="230" customFormat="1" ht="14.7" customHeight="1" x14ac:dyDescent="0.3">
      <c r="F255" s="236"/>
      <c r="N255" s="244"/>
      <c r="P255" s="231"/>
    </row>
    <row r="256" spans="1:16" s="230" customFormat="1" ht="14.7" customHeight="1" x14ac:dyDescent="0.3">
      <c r="A256" s="236"/>
      <c r="F256" s="236"/>
      <c r="N256" s="244"/>
      <c r="P256" s="231"/>
    </row>
    <row r="257" spans="1:16" s="230" customFormat="1" ht="14.7" customHeight="1" x14ac:dyDescent="0.3">
      <c r="A257" s="236"/>
      <c r="F257" s="236"/>
      <c r="N257" s="244"/>
      <c r="P257" s="231"/>
    </row>
    <row r="258" spans="1:16" s="230" customFormat="1" ht="14.7" customHeight="1" x14ac:dyDescent="0.3">
      <c r="A258" s="236"/>
      <c r="F258" s="236"/>
      <c r="N258" s="244"/>
      <c r="P258" s="231"/>
    </row>
    <row r="259" spans="1:16" s="230" customFormat="1" ht="14.7" customHeight="1" x14ac:dyDescent="0.3">
      <c r="A259" s="236"/>
      <c r="F259" s="236"/>
      <c r="N259" s="244"/>
      <c r="P259" s="231"/>
    </row>
    <row r="260" spans="1:16" s="230" customFormat="1" ht="14.7" customHeight="1" x14ac:dyDescent="0.3">
      <c r="A260" s="236"/>
      <c r="F260" s="236"/>
      <c r="N260" s="244"/>
      <c r="P260" s="231"/>
    </row>
    <row r="261" spans="1:16" s="230" customFormat="1" ht="14.7" customHeight="1" x14ac:dyDescent="0.3">
      <c r="A261" s="236"/>
      <c r="F261" s="236"/>
      <c r="N261" s="244"/>
      <c r="P261" s="231"/>
    </row>
    <row r="262" spans="1:16" s="230" customFormat="1" ht="14.7" customHeight="1" x14ac:dyDescent="0.3">
      <c r="N262" s="244"/>
    </row>
    <row r="263" spans="1:16" s="230" customFormat="1" ht="14.7" customHeight="1" x14ac:dyDescent="0.3">
      <c r="A263" s="236"/>
      <c r="F263" s="236"/>
      <c r="N263" s="244"/>
      <c r="P263" s="231"/>
    </row>
    <row r="264" spans="1:16" s="230" customFormat="1" ht="14.7" customHeight="1" x14ac:dyDescent="0.3">
      <c r="A264" s="236"/>
      <c r="F264" s="236"/>
      <c r="N264" s="233"/>
    </row>
    <row r="265" spans="1:16" s="230" customFormat="1" ht="14.7" customHeight="1" x14ac:dyDescent="0.3">
      <c r="N265" s="233"/>
    </row>
    <row r="266" spans="1:16" s="230" customFormat="1" ht="14.7" customHeight="1" x14ac:dyDescent="0.3">
      <c r="A266" s="236"/>
      <c r="F266" s="236"/>
      <c r="N266" s="233"/>
      <c r="P266" s="231"/>
    </row>
    <row r="267" spans="1:16" s="230" customFormat="1" ht="14.7" customHeight="1" x14ac:dyDescent="0.3">
      <c r="F267" s="231"/>
      <c r="N267" s="233"/>
      <c r="P267" s="231"/>
    </row>
    <row r="268" spans="1:16" s="230" customFormat="1" ht="14.7" customHeight="1" x14ac:dyDescent="0.3">
      <c r="F268" s="236"/>
      <c r="N268" s="233"/>
      <c r="P268" s="231"/>
    </row>
    <row r="269" spans="1:16" s="230" customFormat="1" ht="14.7" customHeight="1" x14ac:dyDescent="0.3">
      <c r="F269" s="236"/>
      <c r="N269" s="233"/>
      <c r="P269" s="231"/>
    </row>
    <row r="270" spans="1:16" s="230" customFormat="1" ht="14.7" customHeight="1" x14ac:dyDescent="0.3">
      <c r="F270" s="236"/>
      <c r="N270" s="233"/>
      <c r="P270" s="231"/>
    </row>
    <row r="271" spans="1:16" s="230" customFormat="1" ht="14.7" customHeight="1" x14ac:dyDescent="0.3">
      <c r="A271" s="236"/>
      <c r="F271" s="236"/>
      <c r="N271" s="244"/>
      <c r="P271" s="231"/>
    </row>
    <row r="272" spans="1:16" s="230" customFormat="1" ht="14.7" customHeight="1" x14ac:dyDescent="0.3">
      <c r="A272" s="231"/>
      <c r="F272" s="231"/>
      <c r="N272" s="233"/>
    </row>
    <row r="273" spans="1:16" s="230" customFormat="1" ht="14.7" customHeight="1" x14ac:dyDescent="0.3">
      <c r="F273" s="236"/>
      <c r="N273" s="244"/>
      <c r="P273" s="231"/>
    </row>
    <row r="274" spans="1:16" s="230" customFormat="1" ht="14.7" customHeight="1" x14ac:dyDescent="0.3">
      <c r="F274" s="236"/>
      <c r="N274" s="244"/>
    </row>
    <row r="275" spans="1:16" s="230" customFormat="1" ht="14.7" customHeight="1" x14ac:dyDescent="0.3">
      <c r="F275" s="236"/>
      <c r="N275" s="233"/>
      <c r="P275" s="231"/>
    </row>
    <row r="276" spans="1:16" s="230" customFormat="1" ht="14.7" customHeight="1" x14ac:dyDescent="0.3">
      <c r="A276" s="236"/>
      <c r="F276" s="236"/>
      <c r="N276" s="244"/>
      <c r="P276" s="231"/>
    </row>
    <row r="277" spans="1:16" s="230" customFormat="1" ht="14.7" customHeight="1" x14ac:dyDescent="0.3">
      <c r="A277" s="236"/>
      <c r="F277" s="236"/>
      <c r="N277" s="244"/>
      <c r="P277" s="231"/>
    </row>
    <row r="278" spans="1:16" s="230" customFormat="1" ht="14.7" customHeight="1" x14ac:dyDescent="0.3">
      <c r="A278" s="236"/>
      <c r="F278" s="236"/>
      <c r="N278" s="244"/>
      <c r="P278" s="231"/>
    </row>
    <row r="279" spans="1:16" s="230" customFormat="1" ht="14.7" customHeight="1" x14ac:dyDescent="0.3">
      <c r="A279" s="236"/>
      <c r="F279" s="236"/>
      <c r="N279" s="244"/>
      <c r="P279" s="231"/>
    </row>
    <row r="280" spans="1:16" s="230" customFormat="1" ht="14.7" customHeight="1" x14ac:dyDescent="0.3">
      <c r="A280" s="231"/>
      <c r="F280" s="231"/>
      <c r="N280" s="233"/>
    </row>
    <row r="281" spans="1:16" s="230" customFormat="1" ht="14.7" customHeight="1" x14ac:dyDescent="0.3">
      <c r="A281" s="236"/>
      <c r="N281" s="233"/>
    </row>
    <row r="282" spans="1:16" s="230" customFormat="1" ht="14.7" customHeight="1" x14ac:dyDescent="0.3">
      <c r="A282" s="236"/>
      <c r="F282" s="236"/>
      <c r="N282" s="233"/>
      <c r="P282" s="231"/>
    </row>
    <row r="283" spans="1:16" s="230" customFormat="1" ht="14.7" customHeight="1" x14ac:dyDescent="0.3">
      <c r="N283" s="233"/>
      <c r="P283" s="231"/>
    </row>
    <row r="284" spans="1:16" s="230" customFormat="1" ht="14.7" customHeight="1" x14ac:dyDescent="0.3">
      <c r="N284" s="244"/>
      <c r="P284" s="231"/>
    </row>
    <row r="285" spans="1:16" s="230" customFormat="1" ht="14.7" customHeight="1" x14ac:dyDescent="0.3">
      <c r="N285" s="244"/>
      <c r="P285" s="231"/>
    </row>
    <row r="286" spans="1:16" s="230" customFormat="1" ht="14.7" customHeight="1" x14ac:dyDescent="0.3">
      <c r="F286" s="236"/>
      <c r="N286" s="233"/>
    </row>
    <row r="287" spans="1:16" s="230" customFormat="1" ht="14.7" customHeight="1" x14ac:dyDescent="0.3">
      <c r="A287" s="236"/>
      <c r="F287" s="236"/>
      <c r="N287" s="244"/>
      <c r="P287" s="231"/>
    </row>
    <row r="288" spans="1:16" s="230" customFormat="1" ht="14.7" customHeight="1" x14ac:dyDescent="0.3">
      <c r="A288" s="236"/>
      <c r="F288" s="236"/>
      <c r="N288" s="244"/>
      <c r="P288" s="231"/>
    </row>
    <row r="289" spans="1:16" s="230" customFormat="1" ht="14.7" customHeight="1" x14ac:dyDescent="0.3">
      <c r="A289" s="236"/>
      <c r="F289" s="236"/>
      <c r="N289" s="244"/>
      <c r="P289" s="231"/>
    </row>
    <row r="290" spans="1:16" s="230" customFormat="1" ht="14.7" customHeight="1" x14ac:dyDescent="0.3">
      <c r="F290" s="236"/>
      <c r="N290" s="233"/>
      <c r="P290" s="231"/>
    </row>
    <row r="291" spans="1:16" s="230" customFormat="1" ht="14.7" customHeight="1" x14ac:dyDescent="0.3">
      <c r="A291" s="236"/>
      <c r="F291" s="236"/>
      <c r="N291" s="233"/>
    </row>
    <row r="292" spans="1:16" s="230" customFormat="1" ht="14.7" customHeight="1" x14ac:dyDescent="0.3">
      <c r="A292" s="231"/>
      <c r="F292" s="231"/>
      <c r="N292" s="233"/>
      <c r="P292" s="231"/>
    </row>
    <row r="293" spans="1:16" s="230" customFormat="1" ht="14.7" customHeight="1" x14ac:dyDescent="0.3">
      <c r="A293" s="236"/>
      <c r="F293" s="236"/>
      <c r="N293" s="233"/>
      <c r="P293" s="231"/>
    </row>
    <row r="294" spans="1:16" s="230" customFormat="1" ht="14.7" customHeight="1" x14ac:dyDescent="0.3">
      <c r="F294" s="236"/>
      <c r="N294" s="233"/>
      <c r="P294" s="231"/>
    </row>
    <row r="295" spans="1:16" s="230" customFormat="1" ht="14.7" customHeight="1" x14ac:dyDescent="0.3">
      <c r="A295" s="236"/>
      <c r="F295" s="236"/>
      <c r="N295" s="244"/>
      <c r="P295" s="231"/>
    </row>
    <row r="296" spans="1:16" s="230" customFormat="1" ht="14.7" customHeight="1" x14ac:dyDescent="0.3">
      <c r="A296" s="236"/>
      <c r="F296" s="236"/>
      <c r="N296" s="244"/>
      <c r="P296" s="231"/>
    </row>
    <row r="297" spans="1:16" s="230" customFormat="1" ht="14.7" customHeight="1" x14ac:dyDescent="0.3">
      <c r="F297" s="236"/>
      <c r="N297" s="244"/>
      <c r="P297" s="231"/>
    </row>
    <row r="298" spans="1:16" s="230" customFormat="1" ht="14.7" customHeight="1" x14ac:dyDescent="0.3">
      <c r="F298" s="236"/>
      <c r="N298" s="244"/>
      <c r="P298" s="231"/>
    </row>
    <row r="299" spans="1:16" s="230" customFormat="1" ht="14.7" customHeight="1" x14ac:dyDescent="0.3">
      <c r="A299" s="236"/>
      <c r="F299" s="236"/>
      <c r="N299" s="244"/>
      <c r="P299" s="231"/>
    </row>
    <row r="300" spans="1:16" s="230" customFormat="1" ht="14.7" customHeight="1" x14ac:dyDescent="0.3">
      <c r="A300" s="236"/>
      <c r="F300" s="236"/>
      <c r="N300" s="233"/>
    </row>
    <row r="301" spans="1:16" s="230" customFormat="1" ht="14.7" customHeight="1" x14ac:dyDescent="0.3">
      <c r="N301" s="233"/>
      <c r="P301" s="231"/>
    </row>
    <row r="302" spans="1:16" s="230" customFormat="1" ht="14.7" customHeight="1" x14ac:dyDescent="0.3">
      <c r="F302" s="236"/>
      <c r="N302" s="233"/>
      <c r="P302" s="231"/>
    </row>
    <row r="303" spans="1:16" s="230" customFormat="1" ht="14.7" customHeight="1" x14ac:dyDescent="0.3">
      <c r="F303" s="236"/>
      <c r="N303" s="244"/>
      <c r="P303" s="231"/>
    </row>
    <row r="304" spans="1:16" s="230" customFormat="1" x14ac:dyDescent="0.3">
      <c r="A304" s="236"/>
      <c r="F304" s="236"/>
      <c r="N304" s="244"/>
      <c r="P304" s="231"/>
    </row>
    <row r="305" spans="1:16" s="230" customFormat="1" ht="14.7" customHeight="1" x14ac:dyDescent="0.3">
      <c r="A305" s="236"/>
      <c r="F305" s="236"/>
      <c r="N305" s="244"/>
      <c r="P305" s="231"/>
    </row>
    <row r="306" spans="1:16" s="230" customFormat="1" ht="14.7" customHeight="1" x14ac:dyDescent="0.3">
      <c r="F306" s="236"/>
      <c r="N306" s="233"/>
      <c r="P306" s="231"/>
    </row>
    <row r="307" spans="1:16" s="230" customFormat="1" ht="14.7" customHeight="1" x14ac:dyDescent="0.3">
      <c r="A307" s="236"/>
      <c r="F307" s="236"/>
      <c r="N307" s="244"/>
      <c r="P307" s="231"/>
    </row>
    <row r="308" spans="1:16" s="230" customFormat="1" ht="14.7" customHeight="1" x14ac:dyDescent="0.3">
      <c r="A308" s="236"/>
      <c r="F308" s="236"/>
      <c r="N308" s="233"/>
    </row>
    <row r="309" spans="1:16" s="230" customFormat="1" ht="14.7" customHeight="1" x14ac:dyDescent="0.3">
      <c r="N309" s="251"/>
    </row>
    <row r="310" spans="1:16" s="230" customFormat="1" ht="14.7" customHeight="1" x14ac:dyDescent="0.3">
      <c r="F310" s="236"/>
      <c r="N310" s="233"/>
      <c r="P310" s="231"/>
    </row>
    <row r="311" spans="1:16" s="230" customFormat="1" ht="14.7" customHeight="1" x14ac:dyDescent="0.3">
      <c r="A311" s="236"/>
      <c r="F311" s="236"/>
      <c r="N311" s="244"/>
      <c r="P311" s="231"/>
    </row>
    <row r="312" spans="1:16" s="230" customFormat="1" ht="14.7" customHeight="1" x14ac:dyDescent="0.3">
      <c r="A312" s="236"/>
      <c r="F312" s="236"/>
      <c r="N312" s="244"/>
      <c r="P312" s="231"/>
    </row>
    <row r="313" spans="1:16" s="230" customFormat="1" ht="14.7" customHeight="1" x14ac:dyDescent="0.3">
      <c r="F313" s="236"/>
      <c r="N313" s="244"/>
      <c r="P313" s="231"/>
    </row>
    <row r="314" spans="1:16" s="230" customFormat="1" ht="14.7" customHeight="1" x14ac:dyDescent="0.3">
      <c r="F314" s="236"/>
      <c r="N314" s="233"/>
      <c r="P314" s="231"/>
    </row>
    <row r="315" spans="1:16" s="230" customFormat="1" ht="14.7" customHeight="1" x14ac:dyDescent="0.3">
      <c r="F315" s="236"/>
      <c r="N315" s="233"/>
      <c r="P315" s="231"/>
    </row>
    <row r="316" spans="1:16" s="230" customFormat="1" ht="14.7" customHeight="1" x14ac:dyDescent="0.3">
      <c r="F316" s="236"/>
      <c r="N316" s="233"/>
      <c r="P316" s="231"/>
    </row>
    <row r="317" spans="1:16" s="230" customFormat="1" ht="14.7" customHeight="1" x14ac:dyDescent="0.3">
      <c r="F317" s="236"/>
      <c r="N317" s="244"/>
      <c r="P317" s="231"/>
    </row>
    <row r="318" spans="1:16" s="230" customFormat="1" ht="14.7" customHeight="1" x14ac:dyDescent="0.3">
      <c r="N318" s="233"/>
      <c r="P318" s="231"/>
    </row>
    <row r="319" spans="1:16" s="230" customFormat="1" ht="14.7" customHeight="1" x14ac:dyDescent="0.3">
      <c r="F319" s="236"/>
      <c r="N319" s="233"/>
      <c r="P319" s="231"/>
    </row>
    <row r="320" spans="1:16" s="230" customFormat="1" ht="14.7" customHeight="1" x14ac:dyDescent="0.3">
      <c r="A320" s="236"/>
      <c r="F320" s="236"/>
      <c r="N320" s="244"/>
      <c r="P320" s="231"/>
    </row>
    <row r="321" spans="1:16" s="230" customFormat="1" ht="14.7" customHeight="1" x14ac:dyDescent="0.3">
      <c r="A321" s="236"/>
      <c r="F321" s="236"/>
      <c r="N321" s="244"/>
      <c r="P321" s="231"/>
    </row>
    <row r="322" spans="1:16" s="230" customFormat="1" ht="14.7" customHeight="1" x14ac:dyDescent="0.3">
      <c r="A322" s="236"/>
      <c r="F322" s="236"/>
      <c r="N322" s="244"/>
      <c r="P322" s="231"/>
    </row>
    <row r="323" spans="1:16" s="230" customFormat="1" ht="14.7" customHeight="1" x14ac:dyDescent="0.3">
      <c r="A323" s="236"/>
      <c r="F323" s="236"/>
      <c r="N323" s="244"/>
      <c r="P323" s="231"/>
    </row>
    <row r="324" spans="1:16" s="230" customFormat="1" ht="14.7" customHeight="1" x14ac:dyDescent="0.3">
      <c r="A324" s="236"/>
      <c r="F324" s="236"/>
      <c r="N324" s="244"/>
      <c r="P324" s="231"/>
    </row>
    <row r="325" spans="1:16" s="230" customFormat="1" ht="14.7" customHeight="1" x14ac:dyDescent="0.3">
      <c r="A325" s="236"/>
      <c r="F325" s="236"/>
      <c r="N325" s="244"/>
      <c r="P325" s="231"/>
    </row>
    <row r="326" spans="1:16" s="230" customFormat="1" ht="14.7" customHeight="1" x14ac:dyDescent="0.3">
      <c r="F326" s="236"/>
      <c r="N326" s="233"/>
    </row>
    <row r="327" spans="1:16" s="230" customFormat="1" ht="14.7" customHeight="1" x14ac:dyDescent="0.3">
      <c r="F327" s="236"/>
      <c r="N327" s="244"/>
      <c r="P327" s="231"/>
    </row>
    <row r="328" spans="1:16" s="230" customFormat="1" ht="14.7" customHeight="1" x14ac:dyDescent="0.3">
      <c r="F328" s="236"/>
      <c r="N328" s="244"/>
      <c r="P328" s="231"/>
    </row>
    <row r="329" spans="1:16" s="230" customFormat="1" ht="14.7" customHeight="1" x14ac:dyDescent="0.3">
      <c r="F329" s="236"/>
      <c r="N329" s="244"/>
      <c r="P329" s="252"/>
    </row>
    <row r="330" spans="1:16" s="230" customFormat="1" ht="14.7" customHeight="1" x14ac:dyDescent="0.3">
      <c r="N330" s="233"/>
      <c r="P330" s="231"/>
    </row>
    <row r="331" spans="1:16" s="230" customFormat="1" ht="14.7" customHeight="1" x14ac:dyDescent="0.3">
      <c r="F331" s="236"/>
      <c r="N331" s="233"/>
    </row>
    <row r="332" spans="1:16" s="230" customFormat="1" ht="14.7" customHeight="1" x14ac:dyDescent="0.3">
      <c r="F332" s="236"/>
      <c r="N332" s="233"/>
      <c r="P332" s="231"/>
    </row>
    <row r="333" spans="1:16" s="230" customFormat="1" ht="14.7" customHeight="1" x14ac:dyDescent="0.3">
      <c r="A333" s="236"/>
      <c r="F333" s="236"/>
      <c r="N333" s="233"/>
      <c r="P333" s="231"/>
    </row>
    <row r="334" spans="1:16" s="230" customFormat="1" ht="14.7" customHeight="1" x14ac:dyDescent="0.3">
      <c r="A334" s="236"/>
      <c r="F334" s="236"/>
      <c r="N334" s="244"/>
      <c r="P334" s="231"/>
    </row>
    <row r="335" spans="1:16" s="230" customFormat="1" ht="14.7" customHeight="1" x14ac:dyDescent="0.3">
      <c r="F335" s="236"/>
      <c r="N335" s="244"/>
      <c r="P335" s="231"/>
    </row>
    <row r="336" spans="1:16" s="230" customFormat="1" ht="14.7" customHeight="1" x14ac:dyDescent="0.3">
      <c r="A336" s="236"/>
      <c r="F336" s="236"/>
      <c r="N336" s="244"/>
      <c r="P336" s="231"/>
    </row>
    <row r="337" spans="1:16" s="230" customFormat="1" ht="14.7" customHeight="1" x14ac:dyDescent="0.3">
      <c r="A337" s="231"/>
      <c r="F337" s="231"/>
      <c r="N337" s="233"/>
      <c r="P337" s="231"/>
    </row>
    <row r="338" spans="1:16" s="230" customFormat="1" ht="14.7" customHeight="1" x14ac:dyDescent="0.3">
      <c r="A338" s="236"/>
      <c r="F338" s="236"/>
      <c r="N338" s="233"/>
      <c r="P338" s="231"/>
    </row>
    <row r="339" spans="1:16" s="230" customFormat="1" ht="14.7" customHeight="1" x14ac:dyDescent="0.3">
      <c r="F339" s="236"/>
      <c r="N339" s="244"/>
      <c r="P339" s="231"/>
    </row>
    <row r="340" spans="1:16" s="230" customFormat="1" ht="14.7" customHeight="1" x14ac:dyDescent="0.3">
      <c r="F340" s="236"/>
      <c r="N340" s="244"/>
      <c r="P340" s="231"/>
    </row>
    <row r="341" spans="1:16" s="230" customFormat="1" ht="14.7" customHeight="1" x14ac:dyDescent="0.3">
      <c r="A341" s="236"/>
      <c r="F341" s="236"/>
      <c r="N341" s="244"/>
      <c r="P341" s="231"/>
    </row>
    <row r="342" spans="1:16" s="230" customFormat="1" ht="14.7" customHeight="1" x14ac:dyDescent="0.3">
      <c r="A342" s="236"/>
      <c r="F342" s="236"/>
      <c r="N342" s="244"/>
      <c r="P342" s="231"/>
    </row>
    <row r="343" spans="1:16" s="230" customFormat="1" ht="14.7" customHeight="1" x14ac:dyDescent="0.3">
      <c r="F343" s="236"/>
      <c r="N343" s="244"/>
      <c r="P343" s="231"/>
    </row>
    <row r="344" spans="1:16" s="230" customFormat="1" ht="14.7" customHeight="1" x14ac:dyDescent="0.3">
      <c r="A344" s="236"/>
      <c r="F344" s="236"/>
      <c r="N344" s="244"/>
      <c r="P344"/>
    </row>
    <row r="345" spans="1:16" s="230" customFormat="1" ht="14.7" customHeight="1" x14ac:dyDescent="0.3">
      <c r="N345" s="233"/>
    </row>
    <row r="346" spans="1:16" s="230" customFormat="1" ht="14.7" customHeight="1" x14ac:dyDescent="0.3">
      <c r="A346" s="236"/>
      <c r="F346" s="236"/>
      <c r="N346" s="244"/>
      <c r="P346" s="231"/>
    </row>
    <row r="347" spans="1:16" s="230" customFormat="1" ht="14.7" customHeight="1" x14ac:dyDescent="0.3">
      <c r="N347" s="233"/>
      <c r="P347" s="231"/>
    </row>
    <row r="348" spans="1:16" s="230" customFormat="1" ht="14.7" customHeight="1" x14ac:dyDescent="0.3">
      <c r="A348" s="236"/>
      <c r="F348" s="236"/>
      <c r="N348" s="244"/>
      <c r="P348" s="231"/>
    </row>
    <row r="349" spans="1:16" s="230" customFormat="1" ht="14.7" customHeight="1" x14ac:dyDescent="0.3">
      <c r="N349" s="233"/>
      <c r="P349" s="231"/>
    </row>
    <row r="350" spans="1:16" s="230" customFormat="1" ht="14.7" customHeight="1" x14ac:dyDescent="0.3">
      <c r="N350" s="233"/>
      <c r="P350" s="231"/>
    </row>
    <row r="351" spans="1:16" s="230" customFormat="1" ht="14.7" customHeight="1" x14ac:dyDescent="0.3">
      <c r="A351" s="236"/>
      <c r="F351" s="236"/>
      <c r="N351" s="244"/>
      <c r="P351" s="231"/>
    </row>
    <row r="352" spans="1:16" s="230" customFormat="1" ht="14.7" customHeight="1" x14ac:dyDescent="0.3">
      <c r="F352" s="236"/>
      <c r="N352" s="233"/>
      <c r="P352" s="231"/>
    </row>
    <row r="353" spans="1:16" s="230" customFormat="1" ht="14.7" customHeight="1" x14ac:dyDescent="0.3">
      <c r="F353" s="236"/>
      <c r="N353" s="244"/>
      <c r="P353" s="231"/>
    </row>
    <row r="354" spans="1:16" s="230" customFormat="1" ht="14.7" customHeight="1" x14ac:dyDescent="0.3">
      <c r="A354" s="236"/>
      <c r="F354" s="236"/>
      <c r="N354" s="244"/>
      <c r="P354" s="231"/>
    </row>
    <row r="355" spans="1:16" s="230" customFormat="1" ht="14.7" customHeight="1" x14ac:dyDescent="0.3">
      <c r="A355" s="236"/>
      <c r="F355" s="236"/>
      <c r="N355" s="244"/>
      <c r="P355" s="231"/>
    </row>
    <row r="356" spans="1:16" s="230" customFormat="1" ht="14.7" customHeight="1" x14ac:dyDescent="0.3">
      <c r="A356" s="236"/>
      <c r="F356" s="236"/>
      <c r="N356" s="244"/>
      <c r="P356" s="231"/>
    </row>
    <row r="357" spans="1:16" s="230" customFormat="1" ht="14.7" customHeight="1" x14ac:dyDescent="0.3">
      <c r="A357" s="231"/>
      <c r="F357" s="231"/>
      <c r="N357" s="233"/>
      <c r="P357" s="231"/>
    </row>
    <row r="358" spans="1:16" s="230" customFormat="1" ht="14.7" customHeight="1" x14ac:dyDescent="0.3">
      <c r="A358" s="236"/>
      <c r="F358" s="236"/>
      <c r="N358" s="244"/>
      <c r="P358" s="231"/>
    </row>
    <row r="359" spans="1:16" s="230" customFormat="1" ht="14.7" customHeight="1" x14ac:dyDescent="0.3">
      <c r="A359" s="236"/>
      <c r="F359" s="236"/>
      <c r="N359" s="244"/>
      <c r="P359" s="231"/>
    </row>
    <row r="360" spans="1:16" s="230" customFormat="1" ht="14.7" customHeight="1" x14ac:dyDescent="0.3">
      <c r="N360" s="244"/>
    </row>
    <row r="361" spans="1:16" s="230" customFormat="1" ht="14.7" customHeight="1" x14ac:dyDescent="0.3">
      <c r="A361" s="236"/>
      <c r="F361" s="236"/>
      <c r="N361" s="244"/>
      <c r="P361" s="231"/>
    </row>
    <row r="362" spans="1:16" s="230" customFormat="1" ht="14.7" customHeight="1" x14ac:dyDescent="0.3">
      <c r="N362" s="244"/>
      <c r="P362" s="231"/>
    </row>
    <row r="363" spans="1:16" s="230" customFormat="1" ht="14.7" customHeight="1" x14ac:dyDescent="0.3">
      <c r="A363" s="236"/>
      <c r="F363" s="236"/>
      <c r="N363" s="244"/>
      <c r="P363" s="231"/>
    </row>
    <row r="364" spans="1:16" s="230" customFormat="1" x14ac:dyDescent="0.3">
      <c r="F364" s="236"/>
      <c r="N364" s="244"/>
      <c r="P364" s="231"/>
    </row>
    <row r="365" spans="1:16" s="230" customFormat="1" ht="14.7" customHeight="1" x14ac:dyDescent="0.3">
      <c r="A365" s="236"/>
      <c r="F365" s="236"/>
      <c r="N365" s="244"/>
      <c r="P365" s="231"/>
    </row>
    <row r="366" spans="1:16" s="230" customFormat="1" ht="14.7" customHeight="1" x14ac:dyDescent="0.3">
      <c r="F366" s="236"/>
      <c r="N366" s="244"/>
      <c r="P366" s="231"/>
    </row>
    <row r="367" spans="1:16" s="230" customFormat="1" ht="14.7" customHeight="1" x14ac:dyDescent="0.3">
      <c r="F367" s="236"/>
      <c r="N367" s="244"/>
      <c r="P367" s="231"/>
    </row>
    <row r="368" spans="1:16" s="230" customFormat="1" x14ac:dyDescent="0.3">
      <c r="N368" s="233"/>
      <c r="P368" s="231"/>
    </row>
  </sheetData>
  <autoFilter ref="A129:N168" xr:uid="{00000000-0009-0000-0000-000002000000}">
    <sortState xmlns:xlrd2="http://schemas.microsoft.com/office/spreadsheetml/2017/richdata2" ref="A130:N168">
      <sortCondition ref="M129:M168"/>
    </sortState>
  </autoFilter>
  <hyperlinks>
    <hyperlink ref="P4" r:id="rId1" xr:uid="{00000000-0004-0000-0200-000000000000}"/>
    <hyperlink ref="P6" r:id="rId2" xr:uid="{00000000-0004-0000-0200-000001000000}"/>
    <hyperlink ref="P10" r:id="rId3" xr:uid="{00000000-0004-0000-0200-000002000000}"/>
    <hyperlink ref="P20" r:id="rId4" xr:uid="{00000000-0004-0000-0200-000003000000}"/>
    <hyperlink ref="P24" r:id="rId5" xr:uid="{00000000-0004-0000-0200-000004000000}"/>
    <hyperlink ref="P16" r:id="rId6" xr:uid="{00000000-0004-0000-0200-000005000000}"/>
    <hyperlink ref="P34" r:id="rId7" xr:uid="{00000000-0004-0000-0200-000006000000}"/>
    <hyperlink ref="P32" r:id="rId8" xr:uid="{00000000-0004-0000-0200-000007000000}"/>
    <hyperlink ref="P42" r:id="rId9" xr:uid="{00000000-0004-0000-0200-000008000000}"/>
    <hyperlink ref="P65" r:id="rId10" xr:uid="{00000000-0004-0000-0200-000009000000}"/>
    <hyperlink ref="P58" r:id="rId11" xr:uid="{00000000-0004-0000-0200-00000A000000}"/>
    <hyperlink ref="P12" r:id="rId12" xr:uid="{00000000-0004-0000-0200-00000B000000}"/>
    <hyperlink ref="P26" r:id="rId13" xr:uid="{00000000-0004-0000-0200-00000C000000}"/>
    <hyperlink ref="Z26" r:id="rId14" xr:uid="{00000000-0004-0000-0200-00000D000000}"/>
    <hyperlink ref="P38" r:id="rId15" xr:uid="{00000000-0004-0000-0200-00000E000000}"/>
  </hyperlinks>
  <pageMargins left="0.7" right="0.7" top="0.75" bottom="0.75" header="0.3" footer="0.3"/>
  <legacyDrawing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95"/>
  <sheetViews>
    <sheetView topLeftCell="D1" zoomScale="166" zoomScaleNormal="166" workbookViewId="0">
      <pane ySplit="9" topLeftCell="A98" activePane="bottomLeft" state="frozen"/>
      <selection pane="bottomLeft" activeCell="I1093" sqref="I1093"/>
    </sheetView>
  </sheetViews>
  <sheetFormatPr defaultColWidth="8.77734375" defaultRowHeight="14.4" x14ac:dyDescent="0.3"/>
  <cols>
    <col min="1" max="1" width="15.44140625" hidden="1" customWidth="1"/>
    <col min="2" max="2" width="14.109375" bestFit="1" customWidth="1"/>
    <col min="3" max="3" width="11" customWidth="1"/>
    <col min="4" max="4" width="1.44140625" customWidth="1"/>
    <col min="5" max="5" width="27.44140625" customWidth="1"/>
    <col min="6" max="7" width="13.44140625" customWidth="1"/>
    <col min="8" max="8" width="14" style="226" customWidth="1"/>
    <col min="9" max="10" width="13.6640625" style="205" customWidth="1"/>
    <col min="11" max="11" width="11.6640625" customWidth="1"/>
  </cols>
  <sheetData>
    <row r="1" spans="1:11" ht="22.8" x14ac:dyDescent="0.4">
      <c r="A1" s="199"/>
      <c r="B1" s="200" t="s">
        <v>230</v>
      </c>
      <c r="C1" s="201"/>
      <c r="D1" s="201"/>
      <c r="E1" s="202"/>
      <c r="F1" s="202"/>
      <c r="G1" s="203"/>
      <c r="H1" s="204"/>
    </row>
    <row r="2" spans="1:11" x14ac:dyDescent="0.3">
      <c r="A2" s="199"/>
      <c r="B2" s="206" t="s">
        <v>231</v>
      </c>
      <c r="C2" s="206"/>
      <c r="D2" s="206"/>
      <c r="E2" s="202"/>
      <c r="F2" s="202"/>
      <c r="G2" s="203"/>
      <c r="H2" s="204"/>
    </row>
    <row r="3" spans="1:11" x14ac:dyDescent="0.3">
      <c r="A3" s="199"/>
      <c r="B3" s="207" t="s">
        <v>232</v>
      </c>
      <c r="C3" s="207"/>
      <c r="D3" s="207"/>
      <c r="E3" s="202"/>
      <c r="F3" s="202"/>
      <c r="G3" s="203"/>
      <c r="H3" s="204"/>
    </row>
    <row r="4" spans="1:11" x14ac:dyDescent="0.3">
      <c r="A4" s="199"/>
      <c r="B4" s="199"/>
      <c r="C4" s="199"/>
      <c r="D4" s="199"/>
      <c r="E4" s="199"/>
      <c r="F4" s="199"/>
      <c r="G4" s="208"/>
      <c r="H4" s="204"/>
    </row>
    <row r="5" spans="1:11" x14ac:dyDescent="0.3">
      <c r="A5" s="199"/>
      <c r="B5" s="199"/>
      <c r="C5" s="199"/>
      <c r="D5" s="199"/>
      <c r="E5" s="199"/>
      <c r="F5" s="209"/>
      <c r="G5" s="210"/>
      <c r="H5" s="204"/>
    </row>
    <row r="6" spans="1:11" x14ac:dyDescent="0.3">
      <c r="A6" s="199"/>
      <c r="B6" s="199"/>
      <c r="C6" s="199"/>
      <c r="D6" s="199"/>
      <c r="E6" s="199"/>
      <c r="F6" s="199"/>
      <c r="G6" s="208"/>
      <c r="H6" s="204"/>
    </row>
    <row r="7" spans="1:11" x14ac:dyDescent="0.3">
      <c r="A7" s="199"/>
      <c r="B7" s="206" t="s">
        <v>229</v>
      </c>
      <c r="C7" s="206"/>
      <c r="D7" s="206"/>
      <c r="E7" s="202" t="s">
        <v>229</v>
      </c>
      <c r="F7" s="202"/>
      <c r="G7" s="203"/>
      <c r="H7" s="204"/>
    </row>
    <row r="8" spans="1:11" x14ac:dyDescent="0.3">
      <c r="A8" s="199"/>
      <c r="B8" s="199"/>
      <c r="C8" s="199"/>
      <c r="D8" s="199"/>
      <c r="E8" s="199"/>
      <c r="F8" s="199"/>
      <c r="G8" s="211"/>
      <c r="H8" s="204"/>
    </row>
    <row r="9" spans="1:11" x14ac:dyDescent="0.3">
      <c r="A9" s="199"/>
      <c r="B9" s="429" t="s">
        <v>233</v>
      </c>
      <c r="C9" s="429"/>
      <c r="D9" s="199"/>
      <c r="E9" s="199"/>
      <c r="F9" s="211" t="s">
        <v>234</v>
      </c>
      <c r="G9" s="211" t="s">
        <v>235</v>
      </c>
      <c r="H9" s="204" t="s">
        <v>236</v>
      </c>
      <c r="I9" s="205" t="s">
        <v>237</v>
      </c>
      <c r="J9" s="196" t="s">
        <v>2697</v>
      </c>
      <c r="K9" t="s">
        <v>2701</v>
      </c>
    </row>
    <row r="10" spans="1:11" x14ac:dyDescent="0.3">
      <c r="A10" s="199" t="s">
        <v>239</v>
      </c>
      <c r="B10" s="212" t="s">
        <v>240</v>
      </c>
      <c r="C10" s="212" t="s">
        <v>241</v>
      </c>
      <c r="D10" s="199"/>
      <c r="E10" s="199"/>
      <c r="F10" s="211"/>
      <c r="G10" s="211"/>
      <c r="H10" s="204"/>
    </row>
    <row r="11" spans="1:11" hidden="1" x14ac:dyDescent="0.3">
      <c r="A11" s="211" t="s">
        <v>242</v>
      </c>
      <c r="B11" s="211" t="s">
        <v>243</v>
      </c>
      <c r="C11" s="211" t="s">
        <v>244</v>
      </c>
      <c r="D11" s="199"/>
      <c r="E11" s="211" t="s">
        <v>245</v>
      </c>
      <c r="F11" s="211">
        <v>-13964225</v>
      </c>
      <c r="G11" s="211">
        <v>-13721544.199999999</v>
      </c>
      <c r="H11" s="204">
        <v>-16465853.039999999</v>
      </c>
      <c r="I11" s="213">
        <v>-16732673</v>
      </c>
      <c r="J11" s="213">
        <f>+I11-H11</f>
        <v>-266819.96000000089</v>
      </c>
    </row>
    <row r="12" spans="1:11" hidden="1" x14ac:dyDescent="0.3">
      <c r="A12" s="211" t="s">
        <v>246</v>
      </c>
      <c r="B12" s="211" t="s">
        <v>247</v>
      </c>
      <c r="C12" s="211" t="s">
        <v>248</v>
      </c>
      <c r="D12" s="199"/>
      <c r="E12" s="211" t="s">
        <v>249</v>
      </c>
      <c r="F12" s="211">
        <v>-55875</v>
      </c>
      <c r="G12" s="211">
        <v>-55875</v>
      </c>
      <c r="H12" s="204">
        <v>-67050</v>
      </c>
      <c r="I12" s="205">
        <v>-67052</v>
      </c>
      <c r="J12" s="213">
        <f t="shared" ref="J12:J75" si="0">+I12-H12</f>
        <v>-2</v>
      </c>
    </row>
    <row r="13" spans="1:11" hidden="1" x14ac:dyDescent="0.3">
      <c r="A13" s="211" t="s">
        <v>250</v>
      </c>
      <c r="B13" s="211" t="s">
        <v>251</v>
      </c>
      <c r="C13" s="211" t="s">
        <v>248</v>
      </c>
      <c r="D13" s="199"/>
      <c r="E13" s="211" t="s">
        <v>252</v>
      </c>
      <c r="F13" s="211">
        <v>-60412.5</v>
      </c>
      <c r="G13" s="211">
        <v>-19316.7</v>
      </c>
      <c r="H13" s="204">
        <v>-23180.04</v>
      </c>
      <c r="I13" s="205">
        <f>+H13</f>
        <v>-23180.04</v>
      </c>
      <c r="J13" s="213">
        <f t="shared" si="0"/>
        <v>0</v>
      </c>
    </row>
    <row r="14" spans="1:11" hidden="1" x14ac:dyDescent="0.3">
      <c r="A14" s="211" t="s">
        <v>253</v>
      </c>
      <c r="B14" s="211" t="s">
        <v>251</v>
      </c>
      <c r="C14" s="211" t="s">
        <v>254</v>
      </c>
      <c r="D14" s="199"/>
      <c r="E14" s="211" t="s">
        <v>255</v>
      </c>
      <c r="F14" s="211">
        <v>-127500</v>
      </c>
      <c r="G14" s="211">
        <v>-127500</v>
      </c>
      <c r="H14" s="204">
        <v>-153000</v>
      </c>
      <c r="I14" s="205">
        <v>-191500</v>
      </c>
      <c r="J14" s="213">
        <f t="shared" si="0"/>
        <v>-38500</v>
      </c>
    </row>
    <row r="15" spans="1:11" hidden="1" x14ac:dyDescent="0.3">
      <c r="A15" s="211" t="s">
        <v>256</v>
      </c>
      <c r="B15" s="211" t="s">
        <v>257</v>
      </c>
      <c r="C15" s="211" t="s">
        <v>248</v>
      </c>
      <c r="D15" s="199"/>
      <c r="E15" s="211" t="s">
        <v>258</v>
      </c>
      <c r="F15" s="211">
        <v>-159712.49</v>
      </c>
      <c r="G15" s="211">
        <v>-200808.3</v>
      </c>
      <c r="H15" s="204">
        <v>-240969.95999999996</v>
      </c>
      <c r="I15" s="205">
        <v>-240972</v>
      </c>
      <c r="J15" s="213">
        <f t="shared" si="0"/>
        <v>-2.0400000000372529</v>
      </c>
    </row>
    <row r="16" spans="1:11" hidden="1" x14ac:dyDescent="0.3">
      <c r="A16" s="211" t="s">
        <v>259</v>
      </c>
      <c r="B16" s="211" t="s">
        <v>260</v>
      </c>
      <c r="C16" s="211" t="s">
        <v>254</v>
      </c>
      <c r="D16" s="199"/>
      <c r="E16" s="211" t="s">
        <v>261</v>
      </c>
      <c r="F16" s="211">
        <v>-28599.23</v>
      </c>
      <c r="G16" s="211">
        <v>-6000</v>
      </c>
      <c r="H16" s="204">
        <v>-7200</v>
      </c>
      <c r="I16" s="205">
        <f>+H16</f>
        <v>-7200</v>
      </c>
      <c r="J16" s="213">
        <f t="shared" si="0"/>
        <v>0</v>
      </c>
    </row>
    <row r="17" spans="1:10" hidden="1" x14ac:dyDescent="0.3">
      <c r="A17" s="211" t="s">
        <v>262</v>
      </c>
      <c r="B17" s="211" t="s">
        <v>263</v>
      </c>
      <c r="C17" s="211" t="s">
        <v>264</v>
      </c>
      <c r="D17" s="199"/>
      <c r="E17" s="211" t="s">
        <v>265</v>
      </c>
      <c r="F17" s="211">
        <v>-463500</v>
      </c>
      <c r="G17" s="211">
        <v>-463500</v>
      </c>
      <c r="H17" s="204">
        <v>-556200</v>
      </c>
      <c r="I17" s="205">
        <v>-568895</v>
      </c>
      <c r="J17" s="213">
        <f t="shared" si="0"/>
        <v>-12695</v>
      </c>
    </row>
    <row r="18" spans="1:10" hidden="1" x14ac:dyDescent="0.3">
      <c r="A18" s="211" t="s">
        <v>266</v>
      </c>
      <c r="B18" s="211" t="s">
        <v>267</v>
      </c>
      <c r="C18" s="211" t="s">
        <v>264</v>
      </c>
      <c r="D18" s="199"/>
      <c r="E18" s="211" t="s">
        <v>268</v>
      </c>
      <c r="F18" s="211">
        <v>-70684</v>
      </c>
      <c r="G18" s="211">
        <v>-79416.7</v>
      </c>
      <c r="H18" s="204">
        <v>-95300.040000000008</v>
      </c>
      <c r="I18" s="205">
        <v>-97475</v>
      </c>
      <c r="J18" s="213">
        <f t="shared" si="0"/>
        <v>-2174.9599999999919</v>
      </c>
    </row>
    <row r="19" spans="1:10" hidden="1" x14ac:dyDescent="0.3">
      <c r="A19" s="211" t="s">
        <v>269</v>
      </c>
      <c r="B19" s="211" t="s">
        <v>267</v>
      </c>
      <c r="C19" s="211" t="s">
        <v>264</v>
      </c>
      <c r="D19" s="199"/>
      <c r="E19" s="211" t="s">
        <v>270</v>
      </c>
      <c r="F19" s="211">
        <v>-104336</v>
      </c>
      <c r="G19" s="211">
        <v>-105750</v>
      </c>
      <c r="H19" s="204">
        <v>-126900</v>
      </c>
      <c r="I19" s="205">
        <v>-129797</v>
      </c>
      <c r="J19" s="213">
        <f t="shared" si="0"/>
        <v>-2897</v>
      </c>
    </row>
    <row r="20" spans="1:10" hidden="1" x14ac:dyDescent="0.3">
      <c r="A20" s="211" t="s">
        <v>271</v>
      </c>
      <c r="B20" s="211" t="s">
        <v>267</v>
      </c>
      <c r="C20" s="211" t="s">
        <v>264</v>
      </c>
      <c r="D20" s="199"/>
      <c r="E20" s="211" t="s">
        <v>272</v>
      </c>
      <c r="F20" s="211">
        <v>-58920</v>
      </c>
      <c r="G20" s="211">
        <v>-58916.7</v>
      </c>
      <c r="H20" s="204">
        <v>-70700.040000000008</v>
      </c>
      <c r="I20" s="205">
        <v>-109238</v>
      </c>
      <c r="J20" s="213">
        <f t="shared" si="0"/>
        <v>-38537.959999999992</v>
      </c>
    </row>
    <row r="21" spans="1:10" hidden="1" x14ac:dyDescent="0.3">
      <c r="A21" s="211" t="s">
        <v>273</v>
      </c>
      <c r="B21" s="211" t="s">
        <v>264</v>
      </c>
      <c r="C21" s="211" t="s">
        <v>263</v>
      </c>
      <c r="D21" s="199"/>
      <c r="E21" s="211" t="s">
        <v>274</v>
      </c>
      <c r="F21" s="211">
        <v>-18584</v>
      </c>
      <c r="G21" s="211">
        <v>0</v>
      </c>
      <c r="H21" s="204">
        <v>0</v>
      </c>
      <c r="J21" s="213">
        <f t="shared" si="0"/>
        <v>0</v>
      </c>
    </row>
    <row r="22" spans="1:10" hidden="1" x14ac:dyDescent="0.3">
      <c r="A22" s="211" t="s">
        <v>275</v>
      </c>
      <c r="B22" s="211" t="s">
        <v>260</v>
      </c>
      <c r="C22" s="211" t="s">
        <v>254</v>
      </c>
      <c r="D22" s="199"/>
      <c r="E22" s="211" t="s">
        <v>276</v>
      </c>
      <c r="F22" s="211">
        <v>-45453.4</v>
      </c>
      <c r="G22" s="211">
        <v>-54166.7</v>
      </c>
      <c r="H22" s="204">
        <v>-65000.04</v>
      </c>
      <c r="I22" s="205">
        <f>+H22</f>
        <v>-65000.04</v>
      </c>
      <c r="J22" s="213">
        <f t="shared" si="0"/>
        <v>0</v>
      </c>
    </row>
    <row r="23" spans="1:10" hidden="1" x14ac:dyDescent="0.3">
      <c r="A23" s="211" t="s">
        <v>277</v>
      </c>
      <c r="B23" s="211" t="s">
        <v>260</v>
      </c>
      <c r="C23" s="211" t="s">
        <v>254</v>
      </c>
      <c r="D23" s="199"/>
      <c r="E23" s="211" t="s">
        <v>278</v>
      </c>
      <c r="F23" s="211">
        <v>-78281.59</v>
      </c>
      <c r="G23" s="211">
        <v>-66666.7</v>
      </c>
      <c r="H23" s="204">
        <v>-80000.040000000008</v>
      </c>
      <c r="I23" s="205">
        <v>-100000</v>
      </c>
      <c r="J23" s="213">
        <f t="shared" si="0"/>
        <v>-19999.959999999992</v>
      </c>
    </row>
    <row r="24" spans="1:10" hidden="1" x14ac:dyDescent="0.3">
      <c r="A24" s="211" t="s">
        <v>279</v>
      </c>
      <c r="B24" s="211" t="s">
        <v>280</v>
      </c>
      <c r="C24" s="211" t="s">
        <v>264</v>
      </c>
      <c r="D24" s="199"/>
      <c r="E24" s="211" t="s">
        <v>281</v>
      </c>
      <c r="F24" s="211">
        <v>-318920</v>
      </c>
      <c r="G24" s="211">
        <v>-318916.7</v>
      </c>
      <c r="H24" s="204">
        <v>-382700.04000000004</v>
      </c>
      <c r="I24" s="205">
        <v>-391435</v>
      </c>
      <c r="J24" s="213">
        <f t="shared" si="0"/>
        <v>-8734.9599999999627</v>
      </c>
    </row>
    <row r="25" spans="1:10" hidden="1" x14ac:dyDescent="0.3">
      <c r="A25" s="211" t="s">
        <v>282</v>
      </c>
      <c r="B25" s="211" t="s">
        <v>283</v>
      </c>
      <c r="C25" s="211" t="s">
        <v>284</v>
      </c>
      <c r="D25" s="199"/>
      <c r="E25" s="211" t="s">
        <v>285</v>
      </c>
      <c r="F25" s="211">
        <v>-600834.30000000005</v>
      </c>
      <c r="G25" s="211">
        <v>-598333.30000000005</v>
      </c>
      <c r="H25" s="204">
        <v>-717999.96</v>
      </c>
      <c r="I25" s="205">
        <f>+H25</f>
        <v>-717999.96</v>
      </c>
      <c r="J25" s="213">
        <f t="shared" si="0"/>
        <v>0</v>
      </c>
    </row>
    <row r="26" spans="1:10" hidden="1" x14ac:dyDescent="0.3">
      <c r="A26" s="211" t="s">
        <v>286</v>
      </c>
      <c r="B26" s="211" t="s">
        <v>287</v>
      </c>
      <c r="C26" s="211" t="s">
        <v>264</v>
      </c>
      <c r="D26" s="199"/>
      <c r="E26" s="211" t="s">
        <v>288</v>
      </c>
      <c r="F26" s="211">
        <v>-2162942</v>
      </c>
      <c r="G26" s="211">
        <v>-2114666.7000000002</v>
      </c>
      <c r="H26" s="204">
        <v>-2537600.04</v>
      </c>
      <c r="I26" s="205">
        <v>-2811722</v>
      </c>
      <c r="J26" s="213">
        <f t="shared" si="0"/>
        <v>-274121.95999999996</v>
      </c>
    </row>
    <row r="27" spans="1:10" hidden="1" x14ac:dyDescent="0.3">
      <c r="A27" s="211" t="s">
        <v>289</v>
      </c>
      <c r="B27" s="211" t="s">
        <v>290</v>
      </c>
      <c r="C27" s="211" t="s">
        <v>248</v>
      </c>
      <c r="D27" s="199"/>
      <c r="E27" s="211" t="s">
        <v>291</v>
      </c>
      <c r="F27" s="211">
        <v>-122407.51</v>
      </c>
      <c r="G27" s="211">
        <v>-122407.5</v>
      </c>
      <c r="H27" s="204">
        <v>-146889</v>
      </c>
      <c r="I27" s="205">
        <v>-146888</v>
      </c>
      <c r="J27" s="213">
        <f t="shared" si="0"/>
        <v>1</v>
      </c>
    </row>
    <row r="28" spans="1:10" hidden="1" x14ac:dyDescent="0.3">
      <c r="A28" s="211" t="s">
        <v>292</v>
      </c>
      <c r="B28" s="211" t="s">
        <v>293</v>
      </c>
      <c r="C28" s="211" t="s">
        <v>264</v>
      </c>
      <c r="D28" s="199"/>
      <c r="E28" s="211" t="s">
        <v>294</v>
      </c>
      <c r="F28" s="211">
        <v>-1629</v>
      </c>
      <c r="G28" s="211">
        <v>-1627.5</v>
      </c>
      <c r="H28" s="204">
        <v>-1953</v>
      </c>
      <c r="I28" s="205">
        <f>+H28</f>
        <v>-1953</v>
      </c>
      <c r="J28" s="213">
        <f t="shared" si="0"/>
        <v>0</v>
      </c>
    </row>
    <row r="29" spans="1:10" hidden="1" x14ac:dyDescent="0.3">
      <c r="A29" s="211" t="s">
        <v>295</v>
      </c>
      <c r="B29" s="211" t="s">
        <v>293</v>
      </c>
      <c r="C29" s="211" t="s">
        <v>264</v>
      </c>
      <c r="D29" s="199"/>
      <c r="E29" s="211" t="s">
        <v>296</v>
      </c>
      <c r="F29" s="211">
        <v>0</v>
      </c>
      <c r="G29" s="211">
        <v>-19615</v>
      </c>
      <c r="H29" s="204">
        <v>-23538</v>
      </c>
      <c r="I29" s="205">
        <f>+H29</f>
        <v>-23538</v>
      </c>
      <c r="J29" s="213">
        <f t="shared" si="0"/>
        <v>0</v>
      </c>
    </row>
    <row r="30" spans="1:10" hidden="1" x14ac:dyDescent="0.3">
      <c r="A30" s="211" t="s">
        <v>297</v>
      </c>
      <c r="B30" s="211" t="s">
        <v>293</v>
      </c>
      <c r="C30" s="211" t="s">
        <v>264</v>
      </c>
      <c r="D30" s="199"/>
      <c r="E30" s="211" t="s">
        <v>298</v>
      </c>
      <c r="F30" s="211">
        <v>-500168</v>
      </c>
      <c r="G30" s="211">
        <v>-417895.8</v>
      </c>
      <c r="H30" s="204">
        <v>-501474.96</v>
      </c>
      <c r="I30" s="205">
        <v>-511977</v>
      </c>
      <c r="J30" s="213">
        <f t="shared" si="0"/>
        <v>-10502.039999999979</v>
      </c>
    </row>
    <row r="31" spans="1:10" hidden="1" x14ac:dyDescent="0.3">
      <c r="A31" s="211" t="s">
        <v>299</v>
      </c>
      <c r="B31" s="211" t="s">
        <v>300</v>
      </c>
      <c r="C31" s="211" t="s">
        <v>248</v>
      </c>
      <c r="D31" s="199"/>
      <c r="E31" s="211" t="s">
        <v>301</v>
      </c>
      <c r="F31" s="211">
        <v>0</v>
      </c>
      <c r="G31" s="211">
        <v>-25000</v>
      </c>
      <c r="H31" s="204">
        <v>-30000</v>
      </c>
      <c r="I31" s="205">
        <f>+H31</f>
        <v>-30000</v>
      </c>
      <c r="J31" s="213">
        <f t="shared" si="0"/>
        <v>0</v>
      </c>
    </row>
    <row r="32" spans="1:10" hidden="1" x14ac:dyDescent="0.3">
      <c r="A32" s="211" t="s">
        <v>302</v>
      </c>
      <c r="B32" s="211" t="s">
        <v>303</v>
      </c>
      <c r="C32" s="211" t="s">
        <v>248</v>
      </c>
      <c r="D32" s="199"/>
      <c r="E32" s="211" t="s">
        <v>304</v>
      </c>
      <c r="F32" s="211">
        <v>-48012.66</v>
      </c>
      <c r="G32" s="211">
        <v>-58833.3</v>
      </c>
      <c r="H32" s="204">
        <v>-70599.959999999992</v>
      </c>
      <c r="I32" s="205">
        <v>0</v>
      </c>
      <c r="J32" s="213">
        <f t="shared" si="0"/>
        <v>70599.959999999992</v>
      </c>
    </row>
    <row r="33" spans="1:10" hidden="1" x14ac:dyDescent="0.3">
      <c r="A33" s="211" t="s">
        <v>305</v>
      </c>
      <c r="B33" s="211" t="s">
        <v>306</v>
      </c>
      <c r="C33" s="211" t="s">
        <v>248</v>
      </c>
      <c r="D33" s="199"/>
      <c r="E33" s="211" t="s">
        <v>307</v>
      </c>
      <c r="F33" s="211">
        <v>-23813.58</v>
      </c>
      <c r="G33" s="211">
        <v>-65189.2</v>
      </c>
      <c r="H33" s="204">
        <v>-78227.040000000008</v>
      </c>
      <c r="I33" s="205">
        <f>+H33</f>
        <v>-78227.040000000008</v>
      </c>
      <c r="J33" s="213">
        <f t="shared" si="0"/>
        <v>0</v>
      </c>
    </row>
    <row r="34" spans="1:10" hidden="1" x14ac:dyDescent="0.3">
      <c r="A34" s="211" t="s">
        <v>308</v>
      </c>
      <c r="B34" s="211" t="s">
        <v>243</v>
      </c>
      <c r="C34" s="211" t="s">
        <v>309</v>
      </c>
      <c r="D34" s="199"/>
      <c r="E34" s="211" t="s">
        <v>310</v>
      </c>
      <c r="F34" s="211">
        <v>-20788</v>
      </c>
      <c r="G34" s="211">
        <v>0</v>
      </c>
      <c r="H34" s="204">
        <v>0</v>
      </c>
      <c r="J34" s="213">
        <f t="shared" si="0"/>
        <v>0</v>
      </c>
    </row>
    <row r="35" spans="1:10" hidden="1" x14ac:dyDescent="0.3">
      <c r="A35" s="211" t="s">
        <v>311</v>
      </c>
      <c r="B35" s="211" t="s">
        <v>243</v>
      </c>
      <c r="C35" s="211" t="s">
        <v>312</v>
      </c>
      <c r="D35" s="199"/>
      <c r="E35" s="211" t="s">
        <v>313</v>
      </c>
      <c r="F35" s="211">
        <v>-145750.51</v>
      </c>
      <c r="G35" s="211">
        <v>0</v>
      </c>
      <c r="H35" s="204">
        <v>0</v>
      </c>
      <c r="J35" s="213">
        <f t="shared" si="0"/>
        <v>0</v>
      </c>
    </row>
    <row r="36" spans="1:10" hidden="1" x14ac:dyDescent="0.3">
      <c r="A36" s="211" t="s">
        <v>314</v>
      </c>
      <c r="B36" s="211" t="s">
        <v>260</v>
      </c>
      <c r="C36" s="211" t="s">
        <v>315</v>
      </c>
      <c r="D36" s="199"/>
      <c r="E36" s="211" t="s">
        <v>316</v>
      </c>
      <c r="F36" s="211">
        <v>-9940</v>
      </c>
      <c r="G36" s="211">
        <v>0</v>
      </c>
      <c r="H36" s="204">
        <v>0</v>
      </c>
      <c r="J36" s="213">
        <f t="shared" si="0"/>
        <v>0</v>
      </c>
    </row>
    <row r="37" spans="1:10" hidden="1" x14ac:dyDescent="0.3">
      <c r="A37" s="211" t="s">
        <v>317</v>
      </c>
      <c r="B37" s="211" t="s">
        <v>263</v>
      </c>
      <c r="C37" s="211" t="s">
        <v>318</v>
      </c>
      <c r="D37" s="199"/>
      <c r="E37" s="211" t="s">
        <v>319</v>
      </c>
      <c r="F37" s="211">
        <v>-655041.61</v>
      </c>
      <c r="G37" s="211">
        <v>0</v>
      </c>
      <c r="H37" s="204">
        <v>0</v>
      </c>
      <c r="J37" s="213">
        <f t="shared" si="0"/>
        <v>0</v>
      </c>
    </row>
    <row r="38" spans="1:10" hidden="1" x14ac:dyDescent="0.3">
      <c r="A38" s="211" t="s">
        <v>320</v>
      </c>
      <c r="B38" s="211" t="s">
        <v>263</v>
      </c>
      <c r="C38" s="211" t="s">
        <v>318</v>
      </c>
      <c r="D38" s="199"/>
      <c r="E38" s="211" t="s">
        <v>321</v>
      </c>
      <c r="F38" s="211">
        <v>-16592.5</v>
      </c>
      <c r="G38" s="211">
        <v>0</v>
      </c>
      <c r="H38" s="204">
        <v>0</v>
      </c>
      <c r="J38" s="213">
        <f t="shared" si="0"/>
        <v>0</v>
      </c>
    </row>
    <row r="39" spans="1:10" hidden="1" x14ac:dyDescent="0.3">
      <c r="A39" s="211" t="s">
        <v>322</v>
      </c>
      <c r="B39" s="211" t="s">
        <v>323</v>
      </c>
      <c r="C39" s="211" t="s">
        <v>318</v>
      </c>
      <c r="D39" s="199"/>
      <c r="E39" s="211" t="s">
        <v>324</v>
      </c>
      <c r="F39" s="211">
        <v>-25874.45</v>
      </c>
      <c r="G39" s="211">
        <v>0</v>
      </c>
      <c r="H39" s="204">
        <v>0</v>
      </c>
      <c r="J39" s="213">
        <f t="shared" si="0"/>
        <v>0</v>
      </c>
    </row>
    <row r="40" spans="1:10" hidden="1" x14ac:dyDescent="0.3">
      <c r="A40" s="211" t="s">
        <v>325</v>
      </c>
      <c r="B40" s="211" t="s">
        <v>260</v>
      </c>
      <c r="C40" s="211" t="s">
        <v>318</v>
      </c>
      <c r="D40" s="199"/>
      <c r="E40" s="211" t="s">
        <v>326</v>
      </c>
      <c r="F40" s="211">
        <v>-10303</v>
      </c>
      <c r="G40" s="211">
        <v>0</v>
      </c>
      <c r="H40" s="204">
        <v>0</v>
      </c>
      <c r="J40" s="213">
        <f t="shared" si="0"/>
        <v>0</v>
      </c>
    </row>
    <row r="41" spans="1:10" hidden="1" x14ac:dyDescent="0.3">
      <c r="A41" s="211" t="s">
        <v>327</v>
      </c>
      <c r="B41" s="211" t="s">
        <v>260</v>
      </c>
      <c r="C41" s="211" t="s">
        <v>318</v>
      </c>
      <c r="D41" s="199"/>
      <c r="E41" s="211" t="s">
        <v>328</v>
      </c>
      <c r="F41" s="211">
        <v>967.13</v>
      </c>
      <c r="G41" s="211">
        <v>0</v>
      </c>
      <c r="H41" s="204">
        <v>0</v>
      </c>
      <c r="J41" s="213">
        <f t="shared" si="0"/>
        <v>0</v>
      </c>
    </row>
    <row r="42" spans="1:10" hidden="1" x14ac:dyDescent="0.3">
      <c r="A42" s="211" t="s">
        <v>329</v>
      </c>
      <c r="B42" s="211" t="s">
        <v>280</v>
      </c>
      <c r="C42" s="211" t="s">
        <v>318</v>
      </c>
      <c r="D42" s="199"/>
      <c r="E42" s="211" t="s">
        <v>330</v>
      </c>
      <c r="F42" s="211">
        <v>-26814</v>
      </c>
      <c r="G42" s="211">
        <v>-27800</v>
      </c>
      <c r="H42" s="204">
        <v>-33360</v>
      </c>
      <c r="I42" s="205">
        <f>+H42</f>
        <v>-33360</v>
      </c>
      <c r="J42" s="213">
        <f t="shared" si="0"/>
        <v>0</v>
      </c>
    </row>
    <row r="43" spans="1:10" hidden="1" x14ac:dyDescent="0.3">
      <c r="A43" s="211" t="s">
        <v>331</v>
      </c>
      <c r="B43" s="211" t="s">
        <v>303</v>
      </c>
      <c r="C43" s="211" t="s">
        <v>318</v>
      </c>
      <c r="D43" s="199"/>
      <c r="E43" s="211" t="s">
        <v>332</v>
      </c>
      <c r="F43" s="211">
        <v>-32496</v>
      </c>
      <c r="G43" s="211">
        <v>-39016.699999999997</v>
      </c>
      <c r="H43" s="204">
        <v>-46820.039999999994</v>
      </c>
      <c r="I43" s="205">
        <v>-43328</v>
      </c>
      <c r="J43" s="213">
        <f t="shared" si="0"/>
        <v>3492.0399999999936</v>
      </c>
    </row>
    <row r="44" spans="1:10" hidden="1" x14ac:dyDescent="0.3">
      <c r="A44" s="211" t="s">
        <v>333</v>
      </c>
      <c r="B44" s="211" t="s">
        <v>287</v>
      </c>
      <c r="C44" s="211" t="s">
        <v>318</v>
      </c>
      <c r="D44" s="199"/>
      <c r="E44" s="211" t="s">
        <v>334</v>
      </c>
      <c r="F44" s="211">
        <v>-676612.4</v>
      </c>
      <c r="G44" s="211">
        <v>-564791.69999999995</v>
      </c>
      <c r="H44" s="204">
        <v>-677750.04</v>
      </c>
      <c r="I44" s="205">
        <v>-677750</v>
      </c>
      <c r="J44" s="213">
        <f t="shared" si="0"/>
        <v>4.0000000037252903E-2</v>
      </c>
    </row>
    <row r="45" spans="1:10" hidden="1" x14ac:dyDescent="0.3">
      <c r="A45" s="211" t="s">
        <v>335</v>
      </c>
      <c r="B45" s="211" t="s">
        <v>293</v>
      </c>
      <c r="C45" s="211" t="s">
        <v>318</v>
      </c>
      <c r="D45" s="199"/>
      <c r="E45" s="211" t="s">
        <v>336</v>
      </c>
      <c r="F45" s="211">
        <v>-32533.13</v>
      </c>
      <c r="G45" s="211">
        <v>-30000</v>
      </c>
      <c r="H45" s="204">
        <v>-36000</v>
      </c>
      <c r="I45" s="205">
        <v>-36000</v>
      </c>
      <c r="J45" s="213">
        <f t="shared" si="0"/>
        <v>0</v>
      </c>
    </row>
    <row r="46" spans="1:10" hidden="1" x14ac:dyDescent="0.3">
      <c r="A46" s="211" t="s">
        <v>337</v>
      </c>
      <c r="B46" s="211" t="s">
        <v>293</v>
      </c>
      <c r="C46" s="211" t="s">
        <v>318</v>
      </c>
      <c r="D46" s="199"/>
      <c r="E46" s="211" t="s">
        <v>338</v>
      </c>
      <c r="F46" s="211">
        <v>-22913</v>
      </c>
      <c r="G46" s="211">
        <v>-20833.3</v>
      </c>
      <c r="H46" s="204">
        <v>-24999.96</v>
      </c>
      <c r="I46" s="205">
        <v>-25000</v>
      </c>
      <c r="J46" s="213">
        <f t="shared" si="0"/>
        <v>-4.0000000000873115E-2</v>
      </c>
    </row>
    <row r="47" spans="1:10" hidden="1" x14ac:dyDescent="0.3">
      <c r="A47" s="211" t="s">
        <v>339</v>
      </c>
      <c r="B47" s="211" t="s">
        <v>293</v>
      </c>
      <c r="C47" s="211" t="s">
        <v>318</v>
      </c>
      <c r="D47" s="199"/>
      <c r="E47" s="211" t="s">
        <v>340</v>
      </c>
      <c r="F47" s="211">
        <v>0</v>
      </c>
      <c r="G47" s="211">
        <v>-20833.3</v>
      </c>
      <c r="H47" s="204">
        <v>-24999.96</v>
      </c>
      <c r="I47" s="205">
        <v>-25000</v>
      </c>
      <c r="J47" s="213">
        <f t="shared" si="0"/>
        <v>-4.0000000000873115E-2</v>
      </c>
    </row>
    <row r="48" spans="1:10" hidden="1" x14ac:dyDescent="0.3">
      <c r="A48" s="211" t="s">
        <v>341</v>
      </c>
      <c r="B48" s="211" t="s">
        <v>293</v>
      </c>
      <c r="C48" s="211" t="s">
        <v>318</v>
      </c>
      <c r="D48" s="199"/>
      <c r="E48" s="211" t="s">
        <v>342</v>
      </c>
      <c r="F48" s="211">
        <v>0</v>
      </c>
      <c r="G48" s="211">
        <v>-170833.3</v>
      </c>
      <c r="H48" s="204">
        <v>-204999.95999999996</v>
      </c>
      <c r="I48" s="205">
        <v>-205000</v>
      </c>
      <c r="J48" s="213">
        <f t="shared" si="0"/>
        <v>-4.0000000037252903E-2</v>
      </c>
    </row>
    <row r="49" spans="1:10" hidden="1" x14ac:dyDescent="0.3">
      <c r="A49" s="211" t="s">
        <v>343</v>
      </c>
      <c r="B49" s="211" t="s">
        <v>293</v>
      </c>
      <c r="C49" s="211" t="s">
        <v>318</v>
      </c>
      <c r="D49" s="199"/>
      <c r="E49" s="211" t="s">
        <v>344</v>
      </c>
      <c r="F49" s="211">
        <v>-8160</v>
      </c>
      <c r="G49" s="211">
        <v>0</v>
      </c>
      <c r="H49" s="204">
        <v>0</v>
      </c>
      <c r="J49" s="213">
        <f t="shared" si="0"/>
        <v>0</v>
      </c>
    </row>
    <row r="50" spans="1:10" hidden="1" x14ac:dyDescent="0.3">
      <c r="A50" s="211" t="s">
        <v>345</v>
      </c>
      <c r="B50" s="211" t="s">
        <v>293</v>
      </c>
      <c r="C50" s="211" t="s">
        <v>318</v>
      </c>
      <c r="D50" s="199"/>
      <c r="E50" s="211" t="s">
        <v>346</v>
      </c>
      <c r="F50" s="211">
        <v>-5720</v>
      </c>
      <c r="G50" s="211">
        <v>0</v>
      </c>
      <c r="H50" s="204">
        <v>0</v>
      </c>
      <c r="J50" s="213">
        <f t="shared" si="0"/>
        <v>0</v>
      </c>
    </row>
    <row r="51" spans="1:10" hidden="1" x14ac:dyDescent="0.3">
      <c r="A51" s="211" t="s">
        <v>347</v>
      </c>
      <c r="B51" s="211" t="s">
        <v>293</v>
      </c>
      <c r="C51" s="211" t="s">
        <v>318</v>
      </c>
      <c r="D51" s="199"/>
      <c r="E51" s="211" t="s">
        <v>348</v>
      </c>
      <c r="F51" s="211">
        <v>-9267</v>
      </c>
      <c r="G51" s="211">
        <v>0</v>
      </c>
      <c r="H51" s="204">
        <v>0</v>
      </c>
      <c r="J51" s="213">
        <f t="shared" si="0"/>
        <v>0</v>
      </c>
    </row>
    <row r="52" spans="1:10" hidden="1" x14ac:dyDescent="0.3">
      <c r="A52" s="211" t="s">
        <v>349</v>
      </c>
      <c r="B52" s="211" t="s">
        <v>293</v>
      </c>
      <c r="C52" s="211" t="s">
        <v>318</v>
      </c>
      <c r="D52" s="199"/>
      <c r="E52" s="211" t="s">
        <v>350</v>
      </c>
      <c r="F52" s="211">
        <v>-5136.5</v>
      </c>
      <c r="G52" s="211">
        <v>0</v>
      </c>
      <c r="H52" s="204">
        <v>0</v>
      </c>
      <c r="J52" s="213">
        <f t="shared" si="0"/>
        <v>0</v>
      </c>
    </row>
    <row r="53" spans="1:10" hidden="1" x14ac:dyDescent="0.3">
      <c r="A53" s="211" t="s">
        <v>351</v>
      </c>
      <c r="B53" s="211" t="s">
        <v>293</v>
      </c>
      <c r="C53" s="211" t="s">
        <v>318</v>
      </c>
      <c r="D53" s="199"/>
      <c r="E53" s="211" t="s">
        <v>352</v>
      </c>
      <c r="F53" s="211">
        <v>-4332</v>
      </c>
      <c r="G53" s="211">
        <v>0</v>
      </c>
      <c r="H53" s="204">
        <v>0</v>
      </c>
      <c r="J53" s="213">
        <f t="shared" si="0"/>
        <v>0</v>
      </c>
    </row>
    <row r="54" spans="1:10" hidden="1" x14ac:dyDescent="0.3">
      <c r="A54" s="211" t="s">
        <v>353</v>
      </c>
      <c r="B54" s="211" t="s">
        <v>293</v>
      </c>
      <c r="C54" s="211" t="s">
        <v>318</v>
      </c>
      <c r="D54" s="199"/>
      <c r="E54" s="211" t="s">
        <v>354</v>
      </c>
      <c r="F54" s="211">
        <v>-4006</v>
      </c>
      <c r="G54" s="211">
        <v>0</v>
      </c>
      <c r="H54" s="204">
        <v>0</v>
      </c>
      <c r="J54" s="213">
        <f t="shared" si="0"/>
        <v>0</v>
      </c>
    </row>
    <row r="55" spans="1:10" hidden="1" x14ac:dyDescent="0.3">
      <c r="A55" s="211" t="s">
        <v>355</v>
      </c>
      <c r="B55" s="211" t="s">
        <v>293</v>
      </c>
      <c r="C55" s="211" t="s">
        <v>318</v>
      </c>
      <c r="D55" s="199"/>
      <c r="E55" s="211" t="s">
        <v>356</v>
      </c>
      <c r="F55" s="211">
        <v>-19223</v>
      </c>
      <c r="G55" s="211">
        <v>0</v>
      </c>
      <c r="H55" s="204">
        <v>0</v>
      </c>
      <c r="J55" s="213">
        <f t="shared" si="0"/>
        <v>0</v>
      </c>
    </row>
    <row r="56" spans="1:10" hidden="1" x14ac:dyDescent="0.3">
      <c r="A56" s="211" t="s">
        <v>357</v>
      </c>
      <c r="B56" s="211" t="s">
        <v>293</v>
      </c>
      <c r="C56" s="211" t="s">
        <v>318</v>
      </c>
      <c r="D56" s="199"/>
      <c r="E56" s="211" t="s">
        <v>358</v>
      </c>
      <c r="F56" s="211">
        <v>-6297</v>
      </c>
      <c r="G56" s="211">
        <v>0</v>
      </c>
      <c r="H56" s="204">
        <v>0</v>
      </c>
      <c r="J56" s="213">
        <f t="shared" si="0"/>
        <v>0</v>
      </c>
    </row>
    <row r="57" spans="1:10" hidden="1" x14ac:dyDescent="0.3">
      <c r="A57" s="211" t="s">
        <v>359</v>
      </c>
      <c r="B57" s="211" t="s">
        <v>293</v>
      </c>
      <c r="C57" s="211" t="s">
        <v>318</v>
      </c>
      <c r="D57" s="199"/>
      <c r="E57" s="211" t="s">
        <v>360</v>
      </c>
      <c r="F57" s="211">
        <v>-5800</v>
      </c>
      <c r="G57" s="211">
        <v>0</v>
      </c>
      <c r="H57" s="204">
        <v>0</v>
      </c>
      <c r="J57" s="213">
        <f t="shared" si="0"/>
        <v>0</v>
      </c>
    </row>
    <row r="58" spans="1:10" hidden="1" x14ac:dyDescent="0.3">
      <c r="A58" s="211" t="s">
        <v>361</v>
      </c>
      <c r="B58" s="211" t="s">
        <v>293</v>
      </c>
      <c r="C58" s="211" t="s">
        <v>318</v>
      </c>
      <c r="D58" s="199"/>
      <c r="E58" s="211" t="s">
        <v>362</v>
      </c>
      <c r="F58" s="211">
        <v>-10380</v>
      </c>
      <c r="G58" s="211">
        <v>0</v>
      </c>
      <c r="H58" s="204">
        <v>0</v>
      </c>
      <c r="J58" s="213">
        <f t="shared" si="0"/>
        <v>0</v>
      </c>
    </row>
    <row r="59" spans="1:10" hidden="1" x14ac:dyDescent="0.3">
      <c r="A59" s="211" t="s">
        <v>363</v>
      </c>
      <c r="B59" s="211" t="s">
        <v>293</v>
      </c>
      <c r="C59" s="211" t="s">
        <v>318</v>
      </c>
      <c r="D59" s="199"/>
      <c r="E59" s="211" t="s">
        <v>364</v>
      </c>
      <c r="F59" s="211">
        <v>-11690</v>
      </c>
      <c r="G59" s="211">
        <v>0</v>
      </c>
      <c r="H59" s="204">
        <v>0</v>
      </c>
      <c r="J59" s="213">
        <f t="shared" si="0"/>
        <v>0</v>
      </c>
    </row>
    <row r="60" spans="1:10" hidden="1" x14ac:dyDescent="0.3">
      <c r="A60" s="211" t="s">
        <v>365</v>
      </c>
      <c r="B60" s="211" t="s">
        <v>293</v>
      </c>
      <c r="C60" s="211" t="s">
        <v>318</v>
      </c>
      <c r="D60" s="199"/>
      <c r="E60" s="211" t="s">
        <v>366</v>
      </c>
      <c r="F60" s="211">
        <v>-2393</v>
      </c>
      <c r="G60" s="211">
        <v>0</v>
      </c>
      <c r="H60" s="204">
        <v>0</v>
      </c>
      <c r="J60" s="213">
        <f t="shared" si="0"/>
        <v>0</v>
      </c>
    </row>
    <row r="61" spans="1:10" hidden="1" x14ac:dyDescent="0.3">
      <c r="A61" s="211" t="s">
        <v>367</v>
      </c>
      <c r="B61" s="211" t="s">
        <v>293</v>
      </c>
      <c r="C61" s="211" t="s">
        <v>318</v>
      </c>
      <c r="D61" s="199"/>
      <c r="E61" s="211" t="s">
        <v>368</v>
      </c>
      <c r="F61" s="211">
        <v>-9035</v>
      </c>
      <c r="G61" s="211">
        <v>0</v>
      </c>
      <c r="H61" s="204">
        <v>0</v>
      </c>
      <c r="J61" s="213">
        <f t="shared" si="0"/>
        <v>0</v>
      </c>
    </row>
    <row r="62" spans="1:10" hidden="1" x14ac:dyDescent="0.3">
      <c r="A62" s="211" t="s">
        <v>369</v>
      </c>
      <c r="B62" s="211" t="s">
        <v>293</v>
      </c>
      <c r="C62" s="211" t="s">
        <v>318</v>
      </c>
      <c r="D62" s="199"/>
      <c r="E62" s="211" t="s">
        <v>370</v>
      </c>
      <c r="F62" s="211">
        <v>-6307.55</v>
      </c>
      <c r="G62" s="211">
        <v>0</v>
      </c>
      <c r="H62" s="204">
        <v>0</v>
      </c>
      <c r="J62" s="213">
        <f t="shared" si="0"/>
        <v>0</v>
      </c>
    </row>
    <row r="63" spans="1:10" hidden="1" x14ac:dyDescent="0.3">
      <c r="A63" s="211" t="s">
        <v>371</v>
      </c>
      <c r="B63" s="211" t="s">
        <v>293</v>
      </c>
      <c r="C63" s="211" t="s">
        <v>318</v>
      </c>
      <c r="D63" s="199"/>
      <c r="E63" s="211" t="s">
        <v>372</v>
      </c>
      <c r="F63" s="211">
        <v>-5444.8</v>
      </c>
      <c r="G63" s="211">
        <v>0</v>
      </c>
      <c r="H63" s="204">
        <v>0</v>
      </c>
      <c r="J63" s="213">
        <f t="shared" si="0"/>
        <v>0</v>
      </c>
    </row>
    <row r="64" spans="1:10" hidden="1" x14ac:dyDescent="0.3">
      <c r="A64" s="211" t="s">
        <v>373</v>
      </c>
      <c r="B64" s="211" t="s">
        <v>293</v>
      </c>
      <c r="C64" s="211" t="s">
        <v>318</v>
      </c>
      <c r="D64" s="199"/>
      <c r="E64" s="211" t="s">
        <v>374</v>
      </c>
      <c r="F64" s="211">
        <v>-10854</v>
      </c>
      <c r="G64" s="211">
        <v>0</v>
      </c>
      <c r="H64" s="204">
        <v>0</v>
      </c>
      <c r="J64" s="213">
        <f t="shared" si="0"/>
        <v>0</v>
      </c>
    </row>
    <row r="65" spans="1:10" hidden="1" x14ac:dyDescent="0.3">
      <c r="A65" s="211" t="s">
        <v>375</v>
      </c>
      <c r="B65" s="211" t="s">
        <v>293</v>
      </c>
      <c r="C65" s="211" t="s">
        <v>318</v>
      </c>
      <c r="D65" s="199"/>
      <c r="E65" s="211" t="s">
        <v>376</v>
      </c>
      <c r="F65" s="211">
        <v>-5440</v>
      </c>
      <c r="G65" s="211">
        <v>0</v>
      </c>
      <c r="H65" s="204">
        <v>0</v>
      </c>
      <c r="J65" s="213">
        <f t="shared" si="0"/>
        <v>0</v>
      </c>
    </row>
    <row r="66" spans="1:10" hidden="1" x14ac:dyDescent="0.3">
      <c r="A66" s="211" t="s">
        <v>377</v>
      </c>
      <c r="B66" s="211" t="s">
        <v>293</v>
      </c>
      <c r="C66" s="211" t="s">
        <v>318</v>
      </c>
      <c r="D66" s="199"/>
      <c r="E66" s="211" t="s">
        <v>378</v>
      </c>
      <c r="F66" s="211">
        <v>-4110</v>
      </c>
      <c r="G66" s="211">
        <v>0</v>
      </c>
      <c r="H66" s="204">
        <v>0</v>
      </c>
      <c r="J66" s="213">
        <f t="shared" si="0"/>
        <v>0</v>
      </c>
    </row>
    <row r="67" spans="1:10" hidden="1" x14ac:dyDescent="0.3">
      <c r="A67" s="211" t="s">
        <v>379</v>
      </c>
      <c r="B67" s="211" t="s">
        <v>293</v>
      </c>
      <c r="C67" s="211" t="s">
        <v>318</v>
      </c>
      <c r="D67" s="199"/>
      <c r="E67" s="211" t="s">
        <v>380</v>
      </c>
      <c r="F67" s="211">
        <v>-7530</v>
      </c>
      <c r="G67" s="211">
        <v>0</v>
      </c>
      <c r="H67" s="204">
        <v>0</v>
      </c>
      <c r="J67" s="213">
        <f t="shared" si="0"/>
        <v>0</v>
      </c>
    </row>
    <row r="68" spans="1:10" hidden="1" x14ac:dyDescent="0.3">
      <c r="A68" s="211" t="s">
        <v>381</v>
      </c>
      <c r="B68" s="211" t="s">
        <v>293</v>
      </c>
      <c r="C68" s="211" t="s">
        <v>318</v>
      </c>
      <c r="D68" s="199"/>
      <c r="E68" s="211" t="s">
        <v>382</v>
      </c>
      <c r="F68" s="211">
        <v>-4350</v>
      </c>
      <c r="G68" s="211">
        <v>0</v>
      </c>
      <c r="H68" s="204">
        <v>0</v>
      </c>
      <c r="J68" s="213">
        <f t="shared" si="0"/>
        <v>0</v>
      </c>
    </row>
    <row r="69" spans="1:10" hidden="1" x14ac:dyDescent="0.3">
      <c r="A69" s="211" t="s">
        <v>383</v>
      </c>
      <c r="B69" s="211" t="s">
        <v>293</v>
      </c>
      <c r="C69" s="211" t="s">
        <v>318</v>
      </c>
      <c r="D69" s="199"/>
      <c r="E69" s="211" t="s">
        <v>384</v>
      </c>
      <c r="F69" s="211">
        <v>-4205</v>
      </c>
      <c r="G69" s="211">
        <v>0</v>
      </c>
      <c r="H69" s="204">
        <v>0</v>
      </c>
      <c r="J69" s="213">
        <f t="shared" si="0"/>
        <v>0</v>
      </c>
    </row>
    <row r="70" spans="1:10" hidden="1" x14ac:dyDescent="0.3">
      <c r="A70" s="211" t="s">
        <v>385</v>
      </c>
      <c r="B70" s="211" t="s">
        <v>293</v>
      </c>
      <c r="C70" s="211" t="s">
        <v>318</v>
      </c>
      <c r="D70" s="199"/>
      <c r="E70" s="211" t="s">
        <v>386</v>
      </c>
      <c r="F70" s="211">
        <v>-6988</v>
      </c>
      <c r="G70" s="211">
        <v>0</v>
      </c>
      <c r="H70" s="204">
        <v>0</v>
      </c>
      <c r="J70" s="213">
        <f t="shared" si="0"/>
        <v>0</v>
      </c>
    </row>
    <row r="71" spans="1:10" hidden="1" x14ac:dyDescent="0.3">
      <c r="A71" s="211" t="s">
        <v>387</v>
      </c>
      <c r="B71" s="211" t="s">
        <v>293</v>
      </c>
      <c r="C71" s="211" t="s">
        <v>318</v>
      </c>
      <c r="D71" s="199"/>
      <c r="E71" s="211" t="s">
        <v>388</v>
      </c>
      <c r="F71" s="211">
        <v>-4110</v>
      </c>
      <c r="G71" s="211">
        <v>0</v>
      </c>
      <c r="H71" s="204">
        <v>0</v>
      </c>
      <c r="J71" s="213">
        <f t="shared" si="0"/>
        <v>0</v>
      </c>
    </row>
    <row r="72" spans="1:10" hidden="1" x14ac:dyDescent="0.3">
      <c r="A72" s="211" t="s">
        <v>389</v>
      </c>
      <c r="B72" s="211" t="s">
        <v>293</v>
      </c>
      <c r="C72" s="211" t="s">
        <v>318</v>
      </c>
      <c r="D72" s="199"/>
      <c r="E72" s="211" t="s">
        <v>390</v>
      </c>
      <c r="F72" s="211">
        <v>-7913</v>
      </c>
      <c r="G72" s="211">
        <v>0</v>
      </c>
      <c r="H72" s="204">
        <v>0</v>
      </c>
      <c r="J72" s="213">
        <f t="shared" si="0"/>
        <v>0</v>
      </c>
    </row>
    <row r="73" spans="1:10" hidden="1" x14ac:dyDescent="0.3">
      <c r="A73" s="211" t="s">
        <v>391</v>
      </c>
      <c r="B73" s="211" t="s">
        <v>293</v>
      </c>
      <c r="C73" s="211" t="s">
        <v>318</v>
      </c>
      <c r="D73" s="199"/>
      <c r="E73" s="211" t="s">
        <v>392</v>
      </c>
      <c r="F73" s="211">
        <v>-5800</v>
      </c>
      <c r="G73" s="211">
        <v>0</v>
      </c>
      <c r="H73" s="204">
        <v>0</v>
      </c>
      <c r="J73" s="213">
        <f t="shared" si="0"/>
        <v>0</v>
      </c>
    </row>
    <row r="74" spans="1:10" hidden="1" x14ac:dyDescent="0.3">
      <c r="A74" s="211" t="s">
        <v>393</v>
      </c>
      <c r="B74" s="211" t="s">
        <v>293</v>
      </c>
      <c r="C74" s="211" t="s">
        <v>318</v>
      </c>
      <c r="D74" s="199"/>
      <c r="E74" s="211" t="s">
        <v>394</v>
      </c>
      <c r="F74" s="211">
        <v>-8340</v>
      </c>
      <c r="G74" s="211">
        <v>0</v>
      </c>
      <c r="H74" s="204">
        <v>0</v>
      </c>
      <c r="J74" s="213">
        <f t="shared" si="0"/>
        <v>0</v>
      </c>
    </row>
    <row r="75" spans="1:10" hidden="1" x14ac:dyDescent="0.3">
      <c r="A75" s="211" t="s">
        <v>395</v>
      </c>
      <c r="B75" s="211" t="s">
        <v>293</v>
      </c>
      <c r="C75" s="211" t="s">
        <v>318</v>
      </c>
      <c r="D75" s="199"/>
      <c r="E75" s="211" t="s">
        <v>396</v>
      </c>
      <c r="F75" s="211">
        <v>-10042</v>
      </c>
      <c r="G75" s="211">
        <v>0</v>
      </c>
      <c r="H75" s="204">
        <v>0</v>
      </c>
      <c r="J75" s="213">
        <f t="shared" si="0"/>
        <v>0</v>
      </c>
    </row>
    <row r="76" spans="1:10" hidden="1" x14ac:dyDescent="0.3">
      <c r="A76" s="211" t="s">
        <v>397</v>
      </c>
      <c r="B76" s="211" t="s">
        <v>293</v>
      </c>
      <c r="C76" s="211" t="s">
        <v>318</v>
      </c>
      <c r="D76" s="199"/>
      <c r="E76" s="211" t="s">
        <v>398</v>
      </c>
      <c r="F76" s="211">
        <v>-4674</v>
      </c>
      <c r="G76" s="211">
        <v>0</v>
      </c>
      <c r="H76" s="204">
        <v>0</v>
      </c>
      <c r="J76" s="213">
        <f t="shared" ref="J76:J95" si="1">+I76-H76</f>
        <v>0</v>
      </c>
    </row>
    <row r="77" spans="1:10" hidden="1" x14ac:dyDescent="0.3">
      <c r="A77" s="211" t="s">
        <v>399</v>
      </c>
      <c r="B77" s="211" t="s">
        <v>280</v>
      </c>
      <c r="C77" s="211" t="s">
        <v>318</v>
      </c>
      <c r="D77" s="199"/>
      <c r="E77" s="211" t="s">
        <v>400</v>
      </c>
      <c r="F77" s="211">
        <v>-27063.06</v>
      </c>
      <c r="G77" s="211">
        <v>-29166.7</v>
      </c>
      <c r="H77" s="204">
        <v>-35000.04</v>
      </c>
      <c r="I77" s="205">
        <f>+H77</f>
        <v>-35000.04</v>
      </c>
      <c r="J77" s="213">
        <f t="shared" si="1"/>
        <v>0</v>
      </c>
    </row>
    <row r="78" spans="1:10" hidden="1" x14ac:dyDescent="0.3">
      <c r="A78" s="211" t="s">
        <v>401</v>
      </c>
      <c r="B78" s="211" t="s">
        <v>402</v>
      </c>
      <c r="C78" s="211" t="s">
        <v>403</v>
      </c>
      <c r="D78" s="199"/>
      <c r="E78" s="211" t="s">
        <v>404</v>
      </c>
      <c r="F78" s="211">
        <v>-10268.74</v>
      </c>
      <c r="G78" s="211">
        <v>0</v>
      </c>
      <c r="H78" s="204">
        <v>0</v>
      </c>
      <c r="J78" s="213">
        <f t="shared" si="1"/>
        <v>0</v>
      </c>
    </row>
    <row r="79" spans="1:10" hidden="1" x14ac:dyDescent="0.3">
      <c r="A79" s="211" t="s">
        <v>405</v>
      </c>
      <c r="B79" s="211" t="s">
        <v>402</v>
      </c>
      <c r="C79" s="211" t="s">
        <v>403</v>
      </c>
      <c r="D79" s="199"/>
      <c r="E79" s="211" t="s">
        <v>406</v>
      </c>
      <c r="F79" s="211">
        <v>-34382.080000000002</v>
      </c>
      <c r="G79" s="211">
        <v>0</v>
      </c>
      <c r="H79" s="204">
        <v>0</v>
      </c>
      <c r="J79" s="213">
        <f t="shared" si="1"/>
        <v>0</v>
      </c>
    </row>
    <row r="80" spans="1:10" hidden="1" x14ac:dyDescent="0.3">
      <c r="A80" s="211" t="s">
        <v>407</v>
      </c>
      <c r="B80" s="211" t="s">
        <v>408</v>
      </c>
      <c r="C80" s="211" t="s">
        <v>409</v>
      </c>
      <c r="D80" s="199"/>
      <c r="E80" s="211" t="s">
        <v>410</v>
      </c>
      <c r="F80" s="211">
        <v>-11712.61</v>
      </c>
      <c r="G80" s="211">
        <v>0</v>
      </c>
      <c r="H80" s="204">
        <v>0</v>
      </c>
      <c r="I80" s="205">
        <v>-12000</v>
      </c>
      <c r="J80" s="213">
        <f t="shared" si="1"/>
        <v>-12000</v>
      </c>
    </row>
    <row r="81" spans="1:10" hidden="1" x14ac:dyDescent="0.3">
      <c r="A81" s="211" t="s">
        <v>411</v>
      </c>
      <c r="B81" s="211" t="s">
        <v>412</v>
      </c>
      <c r="C81" s="211" t="s">
        <v>409</v>
      </c>
      <c r="D81" s="199"/>
      <c r="E81" s="211" t="s">
        <v>413</v>
      </c>
      <c r="F81" s="211">
        <v>-12766.72</v>
      </c>
      <c r="G81" s="211">
        <v>0</v>
      </c>
      <c r="H81" s="204">
        <v>0</v>
      </c>
      <c r="I81" s="205">
        <v>-12000</v>
      </c>
      <c r="J81" s="213">
        <f t="shared" si="1"/>
        <v>-12000</v>
      </c>
    </row>
    <row r="82" spans="1:10" hidden="1" x14ac:dyDescent="0.3">
      <c r="A82" s="211" t="s">
        <v>414</v>
      </c>
      <c r="B82" s="211" t="s">
        <v>293</v>
      </c>
      <c r="C82" s="211" t="s">
        <v>415</v>
      </c>
      <c r="D82" s="199"/>
      <c r="E82" s="211" t="s">
        <v>416</v>
      </c>
      <c r="F82" s="211">
        <v>-500</v>
      </c>
      <c r="G82" s="211">
        <v>0</v>
      </c>
      <c r="H82" s="204">
        <v>0</v>
      </c>
      <c r="J82" s="213">
        <f t="shared" si="1"/>
        <v>0</v>
      </c>
    </row>
    <row r="83" spans="1:10" hidden="1" x14ac:dyDescent="0.3">
      <c r="A83" s="211" t="s">
        <v>417</v>
      </c>
      <c r="B83" s="211" t="s">
        <v>402</v>
      </c>
      <c r="C83" s="211" t="s">
        <v>409</v>
      </c>
      <c r="D83" s="199"/>
      <c r="E83" s="211" t="s">
        <v>418</v>
      </c>
      <c r="F83" s="211">
        <v>0</v>
      </c>
      <c r="G83" s="211">
        <v>-115500</v>
      </c>
      <c r="H83" s="204">
        <v>-138600</v>
      </c>
      <c r="I83" s="205">
        <f>0.05*I26</f>
        <v>-140586.1</v>
      </c>
      <c r="J83" s="213">
        <f t="shared" si="1"/>
        <v>-1986.1000000000058</v>
      </c>
    </row>
    <row r="84" spans="1:10" hidden="1" x14ac:dyDescent="0.3">
      <c r="A84" s="211" t="s">
        <v>419</v>
      </c>
      <c r="B84" s="211" t="s">
        <v>402</v>
      </c>
      <c r="C84" s="211" t="s">
        <v>409</v>
      </c>
      <c r="D84" s="199"/>
      <c r="E84" s="211" t="s">
        <v>420</v>
      </c>
      <c r="F84" s="211">
        <v>-71047.240000000005</v>
      </c>
      <c r="G84" s="211">
        <v>0</v>
      </c>
      <c r="H84" s="204">
        <v>0</v>
      </c>
      <c r="J84" s="213">
        <f t="shared" si="1"/>
        <v>0</v>
      </c>
    </row>
    <row r="85" spans="1:10" hidden="1" x14ac:dyDescent="0.3">
      <c r="A85" s="211" t="s">
        <v>421</v>
      </c>
      <c r="B85" s="211" t="s">
        <v>422</v>
      </c>
      <c r="C85" s="211" t="s">
        <v>409</v>
      </c>
      <c r="D85" s="199"/>
      <c r="E85" s="211" t="s">
        <v>423</v>
      </c>
      <c r="F85" s="211">
        <v>-97721.63</v>
      </c>
      <c r="G85" s="211">
        <v>0</v>
      </c>
      <c r="H85" s="204">
        <v>0</v>
      </c>
      <c r="J85" s="213">
        <f t="shared" si="1"/>
        <v>0</v>
      </c>
    </row>
    <row r="86" spans="1:10" hidden="1" x14ac:dyDescent="0.3">
      <c r="A86" s="211" t="s">
        <v>424</v>
      </c>
      <c r="B86" s="211" t="s">
        <v>425</v>
      </c>
      <c r="C86" s="211" t="s">
        <v>409</v>
      </c>
      <c r="D86" s="199"/>
      <c r="E86" s="211" t="s">
        <v>426</v>
      </c>
      <c r="F86" s="211">
        <v>-20637.57</v>
      </c>
      <c r="G86" s="211">
        <v>0</v>
      </c>
      <c r="H86" s="204">
        <v>0</v>
      </c>
      <c r="I86" s="205">
        <v>-20000</v>
      </c>
      <c r="J86" s="213">
        <f t="shared" si="1"/>
        <v>-20000</v>
      </c>
    </row>
    <row r="87" spans="1:10" hidden="1" x14ac:dyDescent="0.3">
      <c r="A87" s="211" t="s">
        <v>427</v>
      </c>
      <c r="B87" s="211" t="s">
        <v>412</v>
      </c>
      <c r="C87" s="211" t="s">
        <v>409</v>
      </c>
      <c r="D87" s="199"/>
      <c r="E87" s="211" t="s">
        <v>428</v>
      </c>
      <c r="F87" s="211">
        <v>-49000</v>
      </c>
      <c r="G87" s="211">
        <v>0</v>
      </c>
      <c r="H87" s="204">
        <v>0</v>
      </c>
      <c r="I87" s="205">
        <v>-78000</v>
      </c>
      <c r="J87" s="213">
        <f t="shared" si="1"/>
        <v>-78000</v>
      </c>
    </row>
    <row r="88" spans="1:10" hidden="1" x14ac:dyDescent="0.3">
      <c r="A88" s="211" t="s">
        <v>429</v>
      </c>
      <c r="B88" s="211" t="s">
        <v>412</v>
      </c>
      <c r="C88" s="211" t="s">
        <v>409</v>
      </c>
      <c r="D88" s="199"/>
      <c r="E88" s="211" t="s">
        <v>430</v>
      </c>
      <c r="F88" s="211">
        <v>-112811</v>
      </c>
      <c r="G88" s="211">
        <v>0</v>
      </c>
      <c r="H88" s="204">
        <v>0</v>
      </c>
      <c r="I88" s="205">
        <v>-52576</v>
      </c>
      <c r="J88" s="213">
        <f t="shared" si="1"/>
        <v>-52576</v>
      </c>
    </row>
    <row r="89" spans="1:10" hidden="1" x14ac:dyDescent="0.3">
      <c r="A89" s="211" t="s">
        <v>431</v>
      </c>
      <c r="B89" s="211" t="s">
        <v>402</v>
      </c>
      <c r="C89" s="211" t="s">
        <v>432</v>
      </c>
      <c r="D89" s="199"/>
      <c r="E89" s="211" t="s">
        <v>433</v>
      </c>
      <c r="F89" s="211">
        <v>-784340.85</v>
      </c>
      <c r="G89" s="211">
        <v>-116916.7</v>
      </c>
      <c r="H89" s="204">
        <v>-140300.04</v>
      </c>
      <c r="I89" s="205">
        <v>-233552</v>
      </c>
      <c r="J89" s="213">
        <f t="shared" si="1"/>
        <v>-93251.959999999992</v>
      </c>
    </row>
    <row r="90" spans="1:10" hidden="1" x14ac:dyDescent="0.3">
      <c r="A90" s="211" t="s">
        <v>434</v>
      </c>
      <c r="B90" s="211" t="s">
        <v>247</v>
      </c>
      <c r="C90" s="211" t="s">
        <v>435</v>
      </c>
      <c r="D90" s="199"/>
      <c r="E90" s="211" t="s">
        <v>436</v>
      </c>
      <c r="F90" s="211">
        <v>-39372.26</v>
      </c>
      <c r="G90" s="211">
        <v>0</v>
      </c>
      <c r="H90" s="204">
        <v>0</v>
      </c>
      <c r="J90" s="213">
        <f t="shared" si="1"/>
        <v>0</v>
      </c>
    </row>
    <row r="91" spans="1:10" hidden="1" x14ac:dyDescent="0.3">
      <c r="A91" s="211" t="s">
        <v>437</v>
      </c>
      <c r="B91" s="211" t="s">
        <v>251</v>
      </c>
      <c r="C91" s="211" t="s">
        <v>432</v>
      </c>
      <c r="D91" s="199"/>
      <c r="E91" s="211" t="s">
        <v>438</v>
      </c>
      <c r="F91" s="211">
        <v>-617087.29</v>
      </c>
      <c r="G91" s="211">
        <v>-594766.69999999995</v>
      </c>
      <c r="H91" s="204">
        <v>-713720.04</v>
      </c>
      <c r="I91" s="205">
        <v>-1121886</v>
      </c>
      <c r="J91" s="213">
        <f t="shared" si="1"/>
        <v>-408165.95999999996</v>
      </c>
    </row>
    <row r="92" spans="1:10" hidden="1" x14ac:dyDescent="0.3">
      <c r="A92" s="211" t="s">
        <v>439</v>
      </c>
      <c r="B92" s="211" t="s">
        <v>257</v>
      </c>
      <c r="C92" s="211" t="s">
        <v>435</v>
      </c>
      <c r="D92" s="199"/>
      <c r="E92" s="211" t="s">
        <v>440</v>
      </c>
      <c r="F92" s="211">
        <v>-23109.439999999999</v>
      </c>
      <c r="G92" s="211">
        <v>0</v>
      </c>
      <c r="H92" s="204">
        <v>0</v>
      </c>
      <c r="J92" s="213">
        <f t="shared" si="1"/>
        <v>0</v>
      </c>
    </row>
    <row r="93" spans="1:10" hidden="1" x14ac:dyDescent="0.3">
      <c r="A93" s="211" t="s">
        <v>441</v>
      </c>
      <c r="B93" s="211" t="s">
        <v>303</v>
      </c>
      <c r="C93" s="211" t="s">
        <v>432</v>
      </c>
      <c r="D93" s="199"/>
      <c r="E93" s="211" t="s">
        <v>442</v>
      </c>
      <c r="F93" s="211">
        <v>-9549.93</v>
      </c>
      <c r="G93" s="211">
        <v>-833.3</v>
      </c>
      <c r="H93" s="204">
        <v>-999.96</v>
      </c>
      <c r="I93" s="205">
        <v>-10000</v>
      </c>
      <c r="J93" s="213">
        <f t="shared" si="1"/>
        <v>-9000.0400000000009</v>
      </c>
    </row>
    <row r="94" spans="1:10" hidden="1" x14ac:dyDescent="0.3">
      <c r="A94" s="211" t="s">
        <v>443</v>
      </c>
      <c r="B94" s="211" t="s">
        <v>290</v>
      </c>
      <c r="C94" s="211" t="s">
        <v>435</v>
      </c>
      <c r="D94" s="199"/>
      <c r="E94" s="211" t="s">
        <v>444</v>
      </c>
      <c r="F94" s="211">
        <v>-2636.52</v>
      </c>
      <c r="G94" s="211">
        <v>0</v>
      </c>
      <c r="H94" s="204">
        <v>0</v>
      </c>
      <c r="J94" s="213">
        <f t="shared" si="1"/>
        <v>0</v>
      </c>
    </row>
    <row r="95" spans="1:10" hidden="1" x14ac:dyDescent="0.3">
      <c r="A95" s="211" t="s">
        <v>445</v>
      </c>
      <c r="B95" s="211" t="s">
        <v>251</v>
      </c>
      <c r="C95" s="211" t="s">
        <v>432</v>
      </c>
      <c r="D95" s="199"/>
      <c r="E95" s="211" t="s">
        <v>446</v>
      </c>
      <c r="F95" s="211">
        <v>413745.67</v>
      </c>
      <c r="G95" s="211">
        <v>0</v>
      </c>
      <c r="H95" s="204">
        <v>0</v>
      </c>
      <c r="J95" s="213">
        <f t="shared" si="1"/>
        <v>0</v>
      </c>
    </row>
    <row r="96" spans="1:10" hidden="1" x14ac:dyDescent="0.3">
      <c r="A96" s="211" t="s">
        <v>447</v>
      </c>
      <c r="B96" s="211" t="s">
        <v>402</v>
      </c>
      <c r="C96" s="211" t="s">
        <v>448</v>
      </c>
      <c r="D96" s="199"/>
      <c r="E96" s="211" t="s">
        <v>449</v>
      </c>
      <c r="F96" s="211">
        <v>-5000</v>
      </c>
      <c r="G96" s="211">
        <v>0</v>
      </c>
      <c r="H96" s="204">
        <v>0</v>
      </c>
    </row>
    <row r="97" spans="1:11" x14ac:dyDescent="0.3">
      <c r="A97" s="211"/>
      <c r="B97" s="211"/>
      <c r="C97" s="211"/>
      <c r="D97" s="199"/>
      <c r="E97" s="211"/>
      <c r="F97" s="211"/>
      <c r="G97" s="211"/>
      <c r="H97" s="204"/>
      <c r="I97" s="258"/>
    </row>
    <row r="98" spans="1:11" x14ac:dyDescent="0.3">
      <c r="A98" s="211"/>
      <c r="B98" s="211"/>
      <c r="C98" s="211"/>
      <c r="D98" s="199"/>
      <c r="E98" s="211" t="s">
        <v>2696</v>
      </c>
      <c r="F98" s="211">
        <f>SUM(F11:F97)</f>
        <v>-22402310.849999994</v>
      </c>
      <c r="G98" s="211">
        <f>SUM(G11:G97)</f>
        <v>-20433237.699999996</v>
      </c>
      <c r="H98" s="211">
        <f>SUM(H11:H97)</f>
        <v>-24519885.239999995</v>
      </c>
      <c r="I98" s="211">
        <f>SUM(I11:I97)</f>
        <v>-25807760.219999999</v>
      </c>
      <c r="J98" s="205">
        <f>-'Base Financials - Middlesex'!C25</f>
        <v>-26351073.559999999</v>
      </c>
      <c r="K98" s="258">
        <v>-23864003</v>
      </c>
    </row>
    <row r="99" spans="1:11" hidden="1" x14ac:dyDescent="0.3">
      <c r="A99" s="211" t="s">
        <v>450</v>
      </c>
      <c r="B99" s="211" t="s">
        <v>422</v>
      </c>
      <c r="C99" s="211" t="s">
        <v>451</v>
      </c>
      <c r="D99" s="199"/>
      <c r="E99" s="214" t="s">
        <v>452</v>
      </c>
      <c r="F99" s="214">
        <v>354093.41</v>
      </c>
      <c r="G99" s="214">
        <v>323333.3</v>
      </c>
      <c r="H99" s="215">
        <v>387999.95999999996</v>
      </c>
      <c r="I99" s="216"/>
    </row>
    <row r="100" spans="1:11" hidden="1" x14ac:dyDescent="0.3">
      <c r="A100" s="211" t="s">
        <v>453</v>
      </c>
      <c r="B100" s="211" t="s">
        <v>454</v>
      </c>
      <c r="C100" s="211" t="s">
        <v>451</v>
      </c>
      <c r="D100" s="199"/>
      <c r="E100" s="214" t="s">
        <v>455</v>
      </c>
      <c r="F100" s="214">
        <v>224662.15</v>
      </c>
      <c r="G100" s="214">
        <v>219500</v>
      </c>
      <c r="H100" s="215">
        <v>263400</v>
      </c>
      <c r="I100" s="216"/>
    </row>
    <row r="101" spans="1:11" hidden="1" x14ac:dyDescent="0.3">
      <c r="A101" s="211" t="s">
        <v>456</v>
      </c>
      <c r="B101" s="211" t="s">
        <v>457</v>
      </c>
      <c r="C101" s="211" t="s">
        <v>451</v>
      </c>
      <c r="D101" s="199"/>
      <c r="E101" s="214" t="s">
        <v>458</v>
      </c>
      <c r="F101" s="214">
        <v>210802.41</v>
      </c>
      <c r="G101" s="214">
        <v>201666.7</v>
      </c>
      <c r="H101" s="215">
        <v>242000.04000000004</v>
      </c>
      <c r="I101" s="216"/>
    </row>
    <row r="102" spans="1:11" hidden="1" x14ac:dyDescent="0.3">
      <c r="A102" s="211" t="s">
        <v>459</v>
      </c>
      <c r="B102" s="211" t="s">
        <v>460</v>
      </c>
      <c r="C102" s="211" t="s">
        <v>451</v>
      </c>
      <c r="D102" s="199"/>
      <c r="E102" s="214" t="s">
        <v>461</v>
      </c>
      <c r="F102" s="214">
        <v>136445.25</v>
      </c>
      <c r="G102" s="214">
        <v>142250</v>
      </c>
      <c r="H102" s="215">
        <v>170700</v>
      </c>
      <c r="I102" s="216"/>
      <c r="J102" s="205">
        <f>+H102+H101+H100+H99</f>
        <v>1064100</v>
      </c>
    </row>
    <row r="103" spans="1:11" hidden="1" x14ac:dyDescent="0.3">
      <c r="A103" s="211" t="s">
        <v>462</v>
      </c>
      <c r="B103" s="211" t="s">
        <v>402</v>
      </c>
      <c r="C103" s="211" t="s">
        <v>451</v>
      </c>
      <c r="D103" s="199"/>
      <c r="E103" s="214" t="s">
        <v>463</v>
      </c>
      <c r="F103" s="214">
        <v>60414.21</v>
      </c>
      <c r="G103" s="214">
        <v>59500</v>
      </c>
      <c r="H103" s="215">
        <v>71400</v>
      </c>
      <c r="I103" s="216"/>
    </row>
    <row r="104" spans="1:11" hidden="1" x14ac:dyDescent="0.3">
      <c r="A104" s="211" t="s">
        <v>464</v>
      </c>
      <c r="B104" s="211" t="s">
        <v>465</v>
      </c>
      <c r="C104" s="211" t="s">
        <v>451</v>
      </c>
      <c r="D104" s="199"/>
      <c r="E104" s="214" t="s">
        <v>466</v>
      </c>
      <c r="F104" s="214">
        <v>81109.81</v>
      </c>
      <c r="G104" s="214">
        <v>0</v>
      </c>
      <c r="H104" s="215">
        <v>0</v>
      </c>
      <c r="I104" s="216"/>
    </row>
    <row r="105" spans="1:11" hidden="1" x14ac:dyDescent="0.3">
      <c r="A105" s="211" t="s">
        <v>467</v>
      </c>
      <c r="B105" s="211" t="s">
        <v>468</v>
      </c>
      <c r="C105" s="211" t="s">
        <v>451</v>
      </c>
      <c r="D105" s="199"/>
      <c r="E105" s="214" t="s">
        <v>469</v>
      </c>
      <c r="F105" s="214">
        <v>118185.39</v>
      </c>
      <c r="G105" s="214">
        <v>113166.7</v>
      </c>
      <c r="H105" s="215">
        <v>135800.04</v>
      </c>
      <c r="I105" s="216"/>
    </row>
    <row r="106" spans="1:11" hidden="1" x14ac:dyDescent="0.3">
      <c r="A106" s="211" t="s">
        <v>470</v>
      </c>
      <c r="B106" s="211" t="s">
        <v>465</v>
      </c>
      <c r="C106" s="211" t="s">
        <v>415</v>
      </c>
      <c r="D106" s="199"/>
      <c r="E106" s="214" t="s">
        <v>471</v>
      </c>
      <c r="F106" s="214">
        <v>1437353.02</v>
      </c>
      <c r="G106" s="214">
        <v>1536666.7</v>
      </c>
      <c r="H106" s="215">
        <v>1844000.0399999998</v>
      </c>
      <c r="I106" s="216"/>
    </row>
    <row r="107" spans="1:11" hidden="1" x14ac:dyDescent="0.3">
      <c r="A107" s="211" t="s">
        <v>472</v>
      </c>
      <c r="B107" s="211" t="s">
        <v>473</v>
      </c>
      <c r="C107" s="211" t="s">
        <v>415</v>
      </c>
      <c r="D107" s="199"/>
      <c r="E107" s="214" t="s">
        <v>474</v>
      </c>
      <c r="F107" s="214">
        <v>330011.62</v>
      </c>
      <c r="G107" s="214">
        <v>343666.7</v>
      </c>
      <c r="H107" s="215">
        <v>412400.04</v>
      </c>
      <c r="I107" s="216"/>
    </row>
    <row r="108" spans="1:11" hidden="1" x14ac:dyDescent="0.3">
      <c r="A108" s="211" t="s">
        <v>475</v>
      </c>
      <c r="B108" s="211" t="s">
        <v>247</v>
      </c>
      <c r="C108" s="211" t="s">
        <v>415</v>
      </c>
      <c r="D108" s="199"/>
      <c r="E108" s="214" t="s">
        <v>476</v>
      </c>
      <c r="F108" s="214">
        <v>39372.26</v>
      </c>
      <c r="G108" s="214">
        <v>0</v>
      </c>
      <c r="H108" s="215">
        <v>0</v>
      </c>
      <c r="I108" s="216"/>
    </row>
    <row r="109" spans="1:11" hidden="1" x14ac:dyDescent="0.3">
      <c r="A109" s="211" t="s">
        <v>477</v>
      </c>
      <c r="B109" s="211" t="s">
        <v>247</v>
      </c>
      <c r="C109" s="211" t="s">
        <v>415</v>
      </c>
      <c r="D109" s="199"/>
      <c r="E109" s="214" t="s">
        <v>478</v>
      </c>
      <c r="F109" s="214">
        <v>34205.42</v>
      </c>
      <c r="G109" s="214">
        <v>66666.7</v>
      </c>
      <c r="H109" s="215">
        <v>80000.040000000008</v>
      </c>
      <c r="I109" s="216"/>
    </row>
    <row r="110" spans="1:11" hidden="1" x14ac:dyDescent="0.3">
      <c r="A110" s="211" t="s">
        <v>479</v>
      </c>
      <c r="B110" s="211" t="s">
        <v>480</v>
      </c>
      <c r="C110" s="211" t="s">
        <v>415</v>
      </c>
      <c r="D110" s="199"/>
      <c r="E110" s="214" t="s">
        <v>481</v>
      </c>
      <c r="F110" s="214">
        <v>144913.79</v>
      </c>
      <c r="G110" s="214">
        <v>224000</v>
      </c>
      <c r="H110" s="215">
        <v>268800</v>
      </c>
      <c r="I110" s="216"/>
    </row>
    <row r="111" spans="1:11" hidden="1" x14ac:dyDescent="0.3">
      <c r="A111" s="211" t="s">
        <v>482</v>
      </c>
      <c r="B111" s="211" t="s">
        <v>422</v>
      </c>
      <c r="C111" s="211" t="s">
        <v>451</v>
      </c>
      <c r="D111" s="199"/>
      <c r="E111" s="214" t="s">
        <v>483</v>
      </c>
      <c r="F111" s="214">
        <v>99142.44</v>
      </c>
      <c r="G111" s="214">
        <v>96583.3</v>
      </c>
      <c r="H111" s="215">
        <v>115899.95999999999</v>
      </c>
      <c r="I111" s="216"/>
    </row>
    <row r="112" spans="1:11" hidden="1" x14ac:dyDescent="0.3">
      <c r="A112" s="211" t="s">
        <v>484</v>
      </c>
      <c r="B112" s="211" t="s">
        <v>485</v>
      </c>
      <c r="C112" s="211" t="s">
        <v>415</v>
      </c>
      <c r="D112" s="199"/>
      <c r="E112" s="214" t="s">
        <v>486</v>
      </c>
      <c r="F112" s="214">
        <v>126398.38</v>
      </c>
      <c r="G112" s="214">
        <v>119583.3</v>
      </c>
      <c r="H112" s="215">
        <v>143499.96</v>
      </c>
      <c r="I112" s="216"/>
    </row>
    <row r="113" spans="1:9" hidden="1" x14ac:dyDescent="0.3">
      <c r="A113" s="211" t="s">
        <v>487</v>
      </c>
      <c r="B113" s="211" t="s">
        <v>465</v>
      </c>
      <c r="C113" s="211" t="s">
        <v>415</v>
      </c>
      <c r="D113" s="199"/>
      <c r="E113" s="214" t="s">
        <v>488</v>
      </c>
      <c r="F113" s="214">
        <v>220173.87</v>
      </c>
      <c r="G113" s="214">
        <v>248000</v>
      </c>
      <c r="H113" s="215">
        <v>297600</v>
      </c>
      <c r="I113" s="216"/>
    </row>
    <row r="114" spans="1:9" hidden="1" x14ac:dyDescent="0.3">
      <c r="A114" s="211" t="s">
        <v>489</v>
      </c>
      <c r="B114" s="211" t="s">
        <v>490</v>
      </c>
      <c r="C114" s="211" t="s">
        <v>415</v>
      </c>
      <c r="D114" s="199"/>
      <c r="E114" s="214" t="s">
        <v>491</v>
      </c>
      <c r="F114" s="214">
        <v>41486.1</v>
      </c>
      <c r="G114" s="214">
        <v>41666.699999999997</v>
      </c>
      <c r="H114" s="215">
        <v>50000.04</v>
      </c>
      <c r="I114" s="216"/>
    </row>
    <row r="115" spans="1:9" hidden="1" x14ac:dyDescent="0.3">
      <c r="A115" s="211" t="s">
        <v>492</v>
      </c>
      <c r="B115" s="211" t="s">
        <v>280</v>
      </c>
      <c r="C115" s="211" t="s">
        <v>415</v>
      </c>
      <c r="D115" s="199"/>
      <c r="E115" s="214" t="s">
        <v>493</v>
      </c>
      <c r="F115" s="214">
        <v>41566.300000000003</v>
      </c>
      <c r="G115" s="214">
        <v>39833.300000000003</v>
      </c>
      <c r="H115" s="215">
        <v>47799.960000000006</v>
      </c>
      <c r="I115" s="216"/>
    </row>
    <row r="116" spans="1:9" hidden="1" x14ac:dyDescent="0.3">
      <c r="A116" s="211" t="s">
        <v>494</v>
      </c>
      <c r="B116" s="211" t="s">
        <v>412</v>
      </c>
      <c r="C116" s="211" t="s">
        <v>415</v>
      </c>
      <c r="D116" s="199"/>
      <c r="E116" s="214" t="s">
        <v>495</v>
      </c>
      <c r="F116" s="214">
        <v>147786.57</v>
      </c>
      <c r="G116" s="214">
        <v>142166.70000000001</v>
      </c>
      <c r="H116" s="215">
        <v>170600.04000000004</v>
      </c>
      <c r="I116" s="216"/>
    </row>
    <row r="117" spans="1:9" hidden="1" x14ac:dyDescent="0.3">
      <c r="A117" s="211" t="s">
        <v>496</v>
      </c>
      <c r="B117" s="211" t="s">
        <v>497</v>
      </c>
      <c r="C117" s="211" t="s">
        <v>451</v>
      </c>
      <c r="D117" s="199"/>
      <c r="E117" s="214" t="s">
        <v>498</v>
      </c>
      <c r="F117" s="214">
        <v>121198.54</v>
      </c>
      <c r="G117" s="214">
        <v>116666.7</v>
      </c>
      <c r="H117" s="215">
        <v>140000.04</v>
      </c>
      <c r="I117" s="216"/>
    </row>
    <row r="118" spans="1:9" hidden="1" x14ac:dyDescent="0.3">
      <c r="A118" s="211" t="s">
        <v>499</v>
      </c>
      <c r="B118" s="211" t="s">
        <v>251</v>
      </c>
      <c r="C118" s="211" t="s">
        <v>415</v>
      </c>
      <c r="D118" s="199"/>
      <c r="E118" s="214" t="s">
        <v>500</v>
      </c>
      <c r="F118" s="214">
        <v>350241.3</v>
      </c>
      <c r="G118" s="214">
        <v>230683.3</v>
      </c>
      <c r="H118" s="215">
        <v>276819.95999999996</v>
      </c>
      <c r="I118" s="216"/>
    </row>
    <row r="119" spans="1:9" hidden="1" x14ac:dyDescent="0.3">
      <c r="A119" s="211" t="s">
        <v>501</v>
      </c>
      <c r="B119" s="211" t="s">
        <v>251</v>
      </c>
      <c r="C119" s="211" t="s">
        <v>415</v>
      </c>
      <c r="D119" s="199"/>
      <c r="E119" s="214" t="s">
        <v>502</v>
      </c>
      <c r="F119" s="214">
        <v>0</v>
      </c>
      <c r="G119" s="214">
        <v>19316.7</v>
      </c>
      <c r="H119" s="215">
        <v>23180.04</v>
      </c>
      <c r="I119" s="216"/>
    </row>
    <row r="120" spans="1:9" hidden="1" x14ac:dyDescent="0.3">
      <c r="A120" s="211" t="s">
        <v>503</v>
      </c>
      <c r="B120" s="211" t="s">
        <v>251</v>
      </c>
      <c r="C120" s="211" t="s">
        <v>415</v>
      </c>
      <c r="D120" s="199"/>
      <c r="E120" s="214" t="s">
        <v>504</v>
      </c>
      <c r="F120" s="214">
        <v>0</v>
      </c>
      <c r="G120" s="214">
        <v>127500</v>
      </c>
      <c r="H120" s="215">
        <v>153000</v>
      </c>
      <c r="I120" s="216"/>
    </row>
    <row r="121" spans="1:9" hidden="1" x14ac:dyDescent="0.3">
      <c r="A121" s="211" t="s">
        <v>505</v>
      </c>
      <c r="B121" s="211" t="s">
        <v>490</v>
      </c>
      <c r="C121" s="211" t="s">
        <v>415</v>
      </c>
      <c r="D121" s="199"/>
      <c r="E121" s="214" t="s">
        <v>506</v>
      </c>
      <c r="F121" s="214">
        <v>345445.65</v>
      </c>
      <c r="G121" s="214">
        <v>370916.7</v>
      </c>
      <c r="H121" s="215">
        <v>445100.04</v>
      </c>
      <c r="I121" s="216"/>
    </row>
    <row r="122" spans="1:9" hidden="1" x14ac:dyDescent="0.3">
      <c r="A122" s="211" t="s">
        <v>507</v>
      </c>
      <c r="B122" s="211" t="s">
        <v>508</v>
      </c>
      <c r="C122" s="211" t="s">
        <v>415</v>
      </c>
      <c r="D122" s="199"/>
      <c r="E122" s="214" t="s">
        <v>509</v>
      </c>
      <c r="F122" s="214">
        <v>41486.1</v>
      </c>
      <c r="G122" s="214">
        <v>41666.699999999997</v>
      </c>
      <c r="H122" s="215">
        <v>50000.04</v>
      </c>
      <c r="I122" s="216"/>
    </row>
    <row r="123" spans="1:9" hidden="1" x14ac:dyDescent="0.3">
      <c r="A123" s="211" t="s">
        <v>510</v>
      </c>
      <c r="B123" s="211" t="s">
        <v>511</v>
      </c>
      <c r="C123" s="211" t="s">
        <v>415</v>
      </c>
      <c r="D123" s="199"/>
      <c r="E123" s="214" t="s">
        <v>512</v>
      </c>
      <c r="F123" s="214">
        <v>200222.12</v>
      </c>
      <c r="G123" s="214">
        <v>177916.7</v>
      </c>
      <c r="H123" s="215">
        <v>213500.04000000004</v>
      </c>
      <c r="I123" s="216"/>
    </row>
    <row r="124" spans="1:9" hidden="1" x14ac:dyDescent="0.3">
      <c r="A124" s="211" t="s">
        <v>513</v>
      </c>
      <c r="B124" s="211" t="s">
        <v>425</v>
      </c>
      <c r="C124" s="211" t="s">
        <v>415</v>
      </c>
      <c r="D124" s="199"/>
      <c r="E124" s="214" t="s">
        <v>514</v>
      </c>
      <c r="F124" s="214">
        <v>43183.4</v>
      </c>
      <c r="G124" s="214">
        <v>21166.7</v>
      </c>
      <c r="H124" s="215">
        <v>25400.04</v>
      </c>
      <c r="I124" s="216"/>
    </row>
    <row r="125" spans="1:9" hidden="1" x14ac:dyDescent="0.3">
      <c r="A125" s="211" t="s">
        <v>515</v>
      </c>
      <c r="B125" s="211" t="s">
        <v>422</v>
      </c>
      <c r="C125" s="211" t="s">
        <v>451</v>
      </c>
      <c r="D125" s="199"/>
      <c r="E125" s="214" t="s">
        <v>516</v>
      </c>
      <c r="F125" s="214">
        <v>51476.28</v>
      </c>
      <c r="G125" s="214">
        <v>59500</v>
      </c>
      <c r="H125" s="215">
        <v>71400</v>
      </c>
      <c r="I125" s="216"/>
    </row>
    <row r="126" spans="1:9" hidden="1" x14ac:dyDescent="0.3">
      <c r="A126" s="211" t="s">
        <v>517</v>
      </c>
      <c r="B126" s="211" t="s">
        <v>465</v>
      </c>
      <c r="C126" s="211" t="s">
        <v>415</v>
      </c>
      <c r="D126" s="199"/>
      <c r="E126" s="214" t="s">
        <v>518</v>
      </c>
      <c r="F126" s="214">
        <v>208366.56</v>
      </c>
      <c r="G126" s="214">
        <v>208416.7</v>
      </c>
      <c r="H126" s="215">
        <v>250100.04000000004</v>
      </c>
      <c r="I126" s="216"/>
    </row>
    <row r="127" spans="1:9" hidden="1" x14ac:dyDescent="0.3">
      <c r="A127" s="211" t="s">
        <v>519</v>
      </c>
      <c r="B127" s="211" t="s">
        <v>490</v>
      </c>
      <c r="C127" s="211" t="s">
        <v>415</v>
      </c>
      <c r="D127" s="199"/>
      <c r="E127" s="214" t="s">
        <v>520</v>
      </c>
      <c r="F127" s="214">
        <v>85877.29</v>
      </c>
      <c r="G127" s="214">
        <v>41666.699999999997</v>
      </c>
      <c r="H127" s="215">
        <v>50000.04</v>
      </c>
      <c r="I127" s="216"/>
    </row>
    <row r="128" spans="1:9" hidden="1" x14ac:dyDescent="0.3">
      <c r="A128" s="211" t="s">
        <v>521</v>
      </c>
      <c r="B128" s="211" t="s">
        <v>425</v>
      </c>
      <c r="C128" s="211" t="s">
        <v>415</v>
      </c>
      <c r="D128" s="199"/>
      <c r="E128" s="214" t="s">
        <v>522</v>
      </c>
      <c r="F128" s="214">
        <v>0</v>
      </c>
      <c r="G128" s="214">
        <v>41666.699999999997</v>
      </c>
      <c r="H128" s="215">
        <v>50000.04</v>
      </c>
      <c r="I128" s="216"/>
    </row>
    <row r="129" spans="1:9" hidden="1" x14ac:dyDescent="0.3">
      <c r="A129" s="211" t="s">
        <v>523</v>
      </c>
      <c r="B129" s="211" t="s">
        <v>524</v>
      </c>
      <c r="C129" s="211" t="s">
        <v>451</v>
      </c>
      <c r="D129" s="199"/>
      <c r="E129" s="214" t="s">
        <v>525</v>
      </c>
      <c r="F129" s="214">
        <v>269273.36</v>
      </c>
      <c r="G129" s="214">
        <v>289666.7</v>
      </c>
      <c r="H129" s="215">
        <v>347600.04000000004</v>
      </c>
      <c r="I129" s="216"/>
    </row>
    <row r="130" spans="1:9" hidden="1" x14ac:dyDescent="0.3">
      <c r="A130" s="211" t="s">
        <v>526</v>
      </c>
      <c r="B130" s="211" t="s">
        <v>422</v>
      </c>
      <c r="C130" s="211" t="s">
        <v>451</v>
      </c>
      <c r="D130" s="199"/>
      <c r="E130" s="214" t="s">
        <v>527</v>
      </c>
      <c r="F130" s="214">
        <v>115985.25</v>
      </c>
      <c r="G130" s="214">
        <v>114833.3</v>
      </c>
      <c r="H130" s="215">
        <v>137799.96</v>
      </c>
      <c r="I130" s="216"/>
    </row>
    <row r="131" spans="1:9" hidden="1" x14ac:dyDescent="0.3">
      <c r="A131" s="211" t="s">
        <v>528</v>
      </c>
      <c r="B131" s="211" t="s">
        <v>280</v>
      </c>
      <c r="C131" s="211" t="s">
        <v>415</v>
      </c>
      <c r="D131" s="199"/>
      <c r="E131" s="214" t="s">
        <v>529</v>
      </c>
      <c r="F131" s="214">
        <v>272666.09999999998</v>
      </c>
      <c r="G131" s="214">
        <v>316083.3</v>
      </c>
      <c r="H131" s="215">
        <v>379299.95999999996</v>
      </c>
      <c r="I131" s="216"/>
    </row>
    <row r="132" spans="1:9" hidden="1" x14ac:dyDescent="0.3">
      <c r="A132" s="211" t="s">
        <v>530</v>
      </c>
      <c r="B132" s="211" t="s">
        <v>280</v>
      </c>
      <c r="C132" s="211" t="s">
        <v>415</v>
      </c>
      <c r="D132" s="199"/>
      <c r="E132" s="214" t="s">
        <v>531</v>
      </c>
      <c r="F132" s="214">
        <v>164187.32999999999</v>
      </c>
      <c r="G132" s="214">
        <v>207916.7</v>
      </c>
      <c r="H132" s="215">
        <v>249500.04000000004</v>
      </c>
      <c r="I132" s="216"/>
    </row>
    <row r="133" spans="1:9" hidden="1" x14ac:dyDescent="0.3">
      <c r="A133" s="211" t="s">
        <v>532</v>
      </c>
      <c r="B133" s="211" t="s">
        <v>280</v>
      </c>
      <c r="C133" s="211" t="s">
        <v>415</v>
      </c>
      <c r="D133" s="199"/>
      <c r="E133" s="214" t="s">
        <v>533</v>
      </c>
      <c r="F133" s="214">
        <v>43409.7</v>
      </c>
      <c r="G133" s="214">
        <v>41666.699999999997</v>
      </c>
      <c r="H133" s="215">
        <v>50000.04</v>
      </c>
      <c r="I133" s="216"/>
    </row>
    <row r="134" spans="1:9" hidden="1" x14ac:dyDescent="0.3">
      <c r="A134" s="211" t="s">
        <v>534</v>
      </c>
      <c r="B134" s="211" t="s">
        <v>280</v>
      </c>
      <c r="C134" s="211" t="s">
        <v>415</v>
      </c>
      <c r="D134" s="199"/>
      <c r="E134" s="214" t="s">
        <v>535</v>
      </c>
      <c r="F134" s="214">
        <v>105964.21</v>
      </c>
      <c r="G134" s="214">
        <v>110750</v>
      </c>
      <c r="H134" s="215">
        <v>132900</v>
      </c>
      <c r="I134" s="216"/>
    </row>
    <row r="135" spans="1:9" hidden="1" x14ac:dyDescent="0.3">
      <c r="A135" s="211" t="s">
        <v>536</v>
      </c>
      <c r="B135" s="211" t="s">
        <v>280</v>
      </c>
      <c r="C135" s="211" t="s">
        <v>415</v>
      </c>
      <c r="D135" s="199"/>
      <c r="E135" s="214" t="s">
        <v>537</v>
      </c>
      <c r="F135" s="214">
        <v>445564.11</v>
      </c>
      <c r="G135" s="214">
        <v>445083.3</v>
      </c>
      <c r="H135" s="215">
        <v>534099.96</v>
      </c>
      <c r="I135" s="216"/>
    </row>
    <row r="136" spans="1:9" hidden="1" x14ac:dyDescent="0.3">
      <c r="A136" s="211" t="s">
        <v>538</v>
      </c>
      <c r="B136" s="211" t="s">
        <v>280</v>
      </c>
      <c r="C136" s="211" t="s">
        <v>415</v>
      </c>
      <c r="D136" s="199"/>
      <c r="E136" s="214" t="s">
        <v>539</v>
      </c>
      <c r="F136" s="214">
        <v>487074.28</v>
      </c>
      <c r="G136" s="214">
        <v>477333.3</v>
      </c>
      <c r="H136" s="215">
        <v>572799.96</v>
      </c>
      <c r="I136" s="216"/>
    </row>
    <row r="137" spans="1:9" hidden="1" x14ac:dyDescent="0.3">
      <c r="A137" s="211" t="s">
        <v>540</v>
      </c>
      <c r="B137" s="211" t="s">
        <v>280</v>
      </c>
      <c r="C137" s="211" t="s">
        <v>415</v>
      </c>
      <c r="D137" s="199"/>
      <c r="E137" s="214" t="s">
        <v>541</v>
      </c>
      <c r="F137" s="214">
        <v>391825.84</v>
      </c>
      <c r="G137" s="214">
        <v>468916.7</v>
      </c>
      <c r="H137" s="215">
        <v>562700.04</v>
      </c>
      <c r="I137" s="216"/>
    </row>
    <row r="138" spans="1:9" hidden="1" x14ac:dyDescent="0.3">
      <c r="A138" s="211" t="s">
        <v>542</v>
      </c>
      <c r="B138" s="211" t="s">
        <v>280</v>
      </c>
      <c r="C138" s="211" t="s">
        <v>415</v>
      </c>
      <c r="D138" s="199"/>
      <c r="E138" s="214" t="s">
        <v>543</v>
      </c>
      <c r="F138" s="214">
        <v>85290.26</v>
      </c>
      <c r="G138" s="214">
        <v>98916.7</v>
      </c>
      <c r="H138" s="215">
        <v>118700.04000000001</v>
      </c>
      <c r="I138" s="216"/>
    </row>
    <row r="139" spans="1:9" hidden="1" x14ac:dyDescent="0.3">
      <c r="A139" s="211" t="s">
        <v>544</v>
      </c>
      <c r="B139" s="211" t="s">
        <v>283</v>
      </c>
      <c r="C139" s="211" t="s">
        <v>415</v>
      </c>
      <c r="D139" s="199"/>
      <c r="E139" s="214" t="s">
        <v>545</v>
      </c>
      <c r="F139" s="214">
        <v>349904.38</v>
      </c>
      <c r="G139" s="214">
        <v>380083.3</v>
      </c>
      <c r="H139" s="215">
        <v>456099.96</v>
      </c>
      <c r="I139" s="216"/>
    </row>
    <row r="140" spans="1:9" hidden="1" x14ac:dyDescent="0.3">
      <c r="A140" s="211" t="s">
        <v>546</v>
      </c>
      <c r="B140" s="211" t="s">
        <v>287</v>
      </c>
      <c r="C140" s="211" t="s">
        <v>415</v>
      </c>
      <c r="D140" s="199"/>
      <c r="E140" s="214" t="s">
        <v>547</v>
      </c>
      <c r="F140" s="214">
        <v>358181.78</v>
      </c>
      <c r="G140" s="214">
        <v>353916.7</v>
      </c>
      <c r="H140" s="215">
        <v>424700.04</v>
      </c>
      <c r="I140" s="216"/>
    </row>
    <row r="141" spans="1:9" hidden="1" x14ac:dyDescent="0.3">
      <c r="A141" s="211" t="s">
        <v>548</v>
      </c>
      <c r="B141" s="211" t="s">
        <v>412</v>
      </c>
      <c r="C141" s="211" t="s">
        <v>549</v>
      </c>
      <c r="D141" s="199"/>
      <c r="E141" s="214" t="s">
        <v>550</v>
      </c>
      <c r="F141" s="214">
        <v>225326.6</v>
      </c>
      <c r="G141" s="214">
        <v>232750</v>
      </c>
      <c r="H141" s="215">
        <v>279300</v>
      </c>
      <c r="I141" s="216"/>
    </row>
    <row r="142" spans="1:9" hidden="1" x14ac:dyDescent="0.3">
      <c r="A142" s="211" t="s">
        <v>551</v>
      </c>
      <c r="B142" s="211" t="s">
        <v>412</v>
      </c>
      <c r="C142" s="211" t="s">
        <v>415</v>
      </c>
      <c r="D142" s="199"/>
      <c r="E142" s="214" t="s">
        <v>552</v>
      </c>
      <c r="F142" s="214">
        <v>305740.01</v>
      </c>
      <c r="G142" s="214">
        <v>376166.7</v>
      </c>
      <c r="H142" s="215">
        <v>451400.04</v>
      </c>
      <c r="I142" s="216"/>
    </row>
    <row r="143" spans="1:9" hidden="1" x14ac:dyDescent="0.3">
      <c r="A143" s="211" t="s">
        <v>553</v>
      </c>
      <c r="B143" s="211" t="s">
        <v>412</v>
      </c>
      <c r="C143" s="211" t="s">
        <v>415</v>
      </c>
      <c r="D143" s="199"/>
      <c r="E143" s="214" t="s">
        <v>554</v>
      </c>
      <c r="F143" s="214">
        <v>128698.07</v>
      </c>
      <c r="G143" s="214">
        <v>179666.7</v>
      </c>
      <c r="H143" s="215">
        <v>215600.04000000004</v>
      </c>
      <c r="I143" s="216"/>
    </row>
    <row r="144" spans="1:9" hidden="1" x14ac:dyDescent="0.3">
      <c r="A144" s="211" t="s">
        <v>555</v>
      </c>
      <c r="B144" s="211" t="s">
        <v>412</v>
      </c>
      <c r="C144" s="211" t="s">
        <v>415</v>
      </c>
      <c r="D144" s="199"/>
      <c r="E144" s="214" t="s">
        <v>556</v>
      </c>
      <c r="F144" s="214">
        <v>444015.11</v>
      </c>
      <c r="G144" s="214">
        <v>541916.69999999995</v>
      </c>
      <c r="H144" s="215">
        <v>650300.04</v>
      </c>
      <c r="I144" s="216"/>
    </row>
    <row r="145" spans="1:9" hidden="1" x14ac:dyDescent="0.3">
      <c r="A145" s="211" t="s">
        <v>557</v>
      </c>
      <c r="B145" s="211" t="s">
        <v>558</v>
      </c>
      <c r="C145" s="211" t="s">
        <v>415</v>
      </c>
      <c r="D145" s="199"/>
      <c r="E145" s="214" t="s">
        <v>559</v>
      </c>
      <c r="F145" s="214">
        <v>305603.40000000002</v>
      </c>
      <c r="G145" s="214">
        <v>359833.3</v>
      </c>
      <c r="H145" s="215">
        <v>431799.96</v>
      </c>
      <c r="I145" s="216"/>
    </row>
    <row r="146" spans="1:9" hidden="1" x14ac:dyDescent="0.3">
      <c r="A146" s="211" t="s">
        <v>560</v>
      </c>
      <c r="B146" s="211" t="s">
        <v>561</v>
      </c>
      <c r="C146" s="211" t="s">
        <v>415</v>
      </c>
      <c r="D146" s="199"/>
      <c r="E146" s="214" t="s">
        <v>562</v>
      </c>
      <c r="F146" s="214">
        <v>114769.04</v>
      </c>
      <c r="G146" s="214">
        <v>114833.3</v>
      </c>
      <c r="H146" s="215">
        <v>137799.96</v>
      </c>
      <c r="I146" s="216"/>
    </row>
    <row r="147" spans="1:9" hidden="1" x14ac:dyDescent="0.3">
      <c r="A147" s="211" t="s">
        <v>563</v>
      </c>
      <c r="B147" s="211" t="s">
        <v>290</v>
      </c>
      <c r="C147" s="211" t="s">
        <v>549</v>
      </c>
      <c r="D147" s="199"/>
      <c r="E147" s="214" t="s">
        <v>564</v>
      </c>
      <c r="F147" s="214">
        <v>95285.02</v>
      </c>
      <c r="G147" s="214">
        <v>93500</v>
      </c>
      <c r="H147" s="215">
        <v>112200</v>
      </c>
      <c r="I147" s="216"/>
    </row>
    <row r="148" spans="1:9" hidden="1" x14ac:dyDescent="0.3">
      <c r="A148" s="211" t="s">
        <v>565</v>
      </c>
      <c r="B148" s="211" t="s">
        <v>412</v>
      </c>
      <c r="C148" s="211" t="s">
        <v>415</v>
      </c>
      <c r="D148" s="199"/>
      <c r="E148" s="214" t="s">
        <v>566</v>
      </c>
      <c r="F148" s="214">
        <v>105876.22</v>
      </c>
      <c r="G148" s="214">
        <v>0</v>
      </c>
      <c r="H148" s="215">
        <v>0</v>
      </c>
      <c r="I148" s="216"/>
    </row>
    <row r="149" spans="1:9" hidden="1" x14ac:dyDescent="0.3">
      <c r="A149" s="211" t="s">
        <v>567</v>
      </c>
      <c r="B149" s="211" t="s">
        <v>293</v>
      </c>
      <c r="C149" s="211" t="s">
        <v>451</v>
      </c>
      <c r="D149" s="199"/>
      <c r="E149" s="214" t="s">
        <v>568</v>
      </c>
      <c r="F149" s="214">
        <v>90233.83</v>
      </c>
      <c r="G149" s="214">
        <v>91333.3</v>
      </c>
      <c r="H149" s="215">
        <v>109599.95999999999</v>
      </c>
      <c r="I149" s="216"/>
    </row>
    <row r="150" spans="1:9" hidden="1" x14ac:dyDescent="0.3">
      <c r="A150" s="211" t="s">
        <v>569</v>
      </c>
      <c r="B150" s="211" t="s">
        <v>422</v>
      </c>
      <c r="C150" s="211" t="s">
        <v>451</v>
      </c>
      <c r="D150" s="199"/>
      <c r="E150" s="214" t="s">
        <v>570</v>
      </c>
      <c r="F150" s="214">
        <v>79528.69</v>
      </c>
      <c r="G150" s="214">
        <v>38333.300000000003</v>
      </c>
      <c r="H150" s="215">
        <v>45999.960000000006</v>
      </c>
      <c r="I150" s="216"/>
    </row>
    <row r="151" spans="1:9" hidden="1" x14ac:dyDescent="0.3">
      <c r="A151" s="211" t="s">
        <v>571</v>
      </c>
      <c r="B151" s="211" t="s">
        <v>457</v>
      </c>
      <c r="C151" s="211" t="s">
        <v>451</v>
      </c>
      <c r="D151" s="199"/>
      <c r="E151" s="214" t="s">
        <v>572</v>
      </c>
      <c r="F151" s="214">
        <v>32478.6</v>
      </c>
      <c r="G151" s="214">
        <v>36333.300000000003</v>
      </c>
      <c r="H151" s="215">
        <v>43599.960000000006</v>
      </c>
      <c r="I151" s="216"/>
    </row>
    <row r="152" spans="1:9" hidden="1" x14ac:dyDescent="0.3">
      <c r="A152" s="211" t="s">
        <v>573</v>
      </c>
      <c r="B152" s="211" t="s">
        <v>402</v>
      </c>
      <c r="C152" s="211" t="s">
        <v>451</v>
      </c>
      <c r="D152" s="199"/>
      <c r="E152" s="214" t="s">
        <v>574</v>
      </c>
      <c r="F152" s="214">
        <v>20119.12</v>
      </c>
      <c r="G152" s="214">
        <v>0</v>
      </c>
      <c r="H152" s="215">
        <v>0</v>
      </c>
      <c r="I152" s="216"/>
    </row>
    <row r="153" spans="1:9" hidden="1" x14ac:dyDescent="0.3">
      <c r="A153" s="211" t="s">
        <v>575</v>
      </c>
      <c r="B153" s="211" t="s">
        <v>465</v>
      </c>
      <c r="C153" s="211" t="s">
        <v>576</v>
      </c>
      <c r="D153" s="199"/>
      <c r="E153" s="214" t="s">
        <v>577</v>
      </c>
      <c r="F153" s="214">
        <v>83913.46</v>
      </c>
      <c r="G153" s="214">
        <v>0</v>
      </c>
      <c r="H153" s="215">
        <v>0</v>
      </c>
      <c r="I153" s="216"/>
    </row>
    <row r="154" spans="1:9" hidden="1" x14ac:dyDescent="0.3">
      <c r="A154" s="211" t="s">
        <v>578</v>
      </c>
      <c r="B154" s="211" t="s">
        <v>480</v>
      </c>
      <c r="C154" s="211" t="s">
        <v>415</v>
      </c>
      <c r="D154" s="199"/>
      <c r="E154" s="214" t="s">
        <v>579</v>
      </c>
      <c r="F154" s="214">
        <v>73856.58</v>
      </c>
      <c r="G154" s="214">
        <v>0</v>
      </c>
      <c r="H154" s="215">
        <v>0</v>
      </c>
      <c r="I154" s="216"/>
    </row>
    <row r="155" spans="1:9" hidden="1" x14ac:dyDescent="0.3">
      <c r="A155" s="211" t="s">
        <v>580</v>
      </c>
      <c r="B155" s="211" t="s">
        <v>465</v>
      </c>
      <c r="C155" s="211" t="s">
        <v>415</v>
      </c>
      <c r="D155" s="199"/>
      <c r="E155" s="214" t="s">
        <v>581</v>
      </c>
      <c r="F155" s="214">
        <v>4071.95</v>
      </c>
      <c r="G155" s="214">
        <v>0</v>
      </c>
      <c r="H155" s="215">
        <v>0</v>
      </c>
      <c r="I155" s="216"/>
    </row>
    <row r="156" spans="1:9" hidden="1" x14ac:dyDescent="0.3">
      <c r="A156" s="211" t="s">
        <v>582</v>
      </c>
      <c r="B156" s="211" t="s">
        <v>251</v>
      </c>
      <c r="C156" s="211" t="s">
        <v>415</v>
      </c>
      <c r="D156" s="199"/>
      <c r="E156" s="214" t="s">
        <v>583</v>
      </c>
      <c r="F156" s="214">
        <v>21587.64</v>
      </c>
      <c r="G156" s="214">
        <v>31833.3</v>
      </c>
      <c r="H156" s="215">
        <v>38199.96</v>
      </c>
      <c r="I156" s="216"/>
    </row>
    <row r="157" spans="1:9" hidden="1" x14ac:dyDescent="0.3">
      <c r="A157" s="211" t="s">
        <v>584</v>
      </c>
      <c r="B157" s="211" t="s">
        <v>490</v>
      </c>
      <c r="C157" s="211" t="s">
        <v>415</v>
      </c>
      <c r="D157" s="199"/>
      <c r="E157" s="214" t="s">
        <v>585</v>
      </c>
      <c r="F157" s="214">
        <v>13911.02</v>
      </c>
      <c r="G157" s="214">
        <v>0</v>
      </c>
      <c r="H157" s="215">
        <v>0</v>
      </c>
      <c r="I157" s="216"/>
    </row>
    <row r="158" spans="1:9" hidden="1" x14ac:dyDescent="0.3">
      <c r="A158" s="211" t="s">
        <v>586</v>
      </c>
      <c r="B158" s="211" t="s">
        <v>300</v>
      </c>
      <c r="C158" s="211" t="s">
        <v>415</v>
      </c>
      <c r="D158" s="199"/>
      <c r="E158" s="214" t="s">
        <v>587</v>
      </c>
      <c r="F158" s="214">
        <v>18360.8</v>
      </c>
      <c r="G158" s="214">
        <v>21500</v>
      </c>
      <c r="H158" s="215">
        <v>25800</v>
      </c>
      <c r="I158" s="216"/>
    </row>
    <row r="159" spans="1:9" hidden="1" x14ac:dyDescent="0.3">
      <c r="A159" s="211" t="s">
        <v>588</v>
      </c>
      <c r="B159" s="211" t="s">
        <v>280</v>
      </c>
      <c r="C159" s="211" t="s">
        <v>451</v>
      </c>
      <c r="D159" s="199"/>
      <c r="E159" s="214" t="s">
        <v>589</v>
      </c>
      <c r="F159" s="214">
        <v>22664.28</v>
      </c>
      <c r="G159" s="214">
        <v>0</v>
      </c>
      <c r="H159" s="215">
        <v>0</v>
      </c>
      <c r="I159" s="216"/>
    </row>
    <row r="160" spans="1:9" hidden="1" x14ac:dyDescent="0.3">
      <c r="A160" s="211" t="s">
        <v>590</v>
      </c>
      <c r="B160" s="211" t="s">
        <v>280</v>
      </c>
      <c r="C160" s="211" t="s">
        <v>576</v>
      </c>
      <c r="D160" s="199"/>
      <c r="E160" s="214" t="s">
        <v>591</v>
      </c>
      <c r="F160" s="214">
        <v>1090.5</v>
      </c>
      <c r="G160" s="214">
        <v>0</v>
      </c>
      <c r="H160" s="215">
        <v>0</v>
      </c>
      <c r="I160" s="216"/>
    </row>
    <row r="161" spans="1:9" hidden="1" x14ac:dyDescent="0.3">
      <c r="A161" s="211" t="s">
        <v>592</v>
      </c>
      <c r="B161" s="211" t="s">
        <v>303</v>
      </c>
      <c r="C161" s="211" t="s">
        <v>415</v>
      </c>
      <c r="D161" s="199"/>
      <c r="E161" s="214" t="s">
        <v>593</v>
      </c>
      <c r="F161" s="214">
        <v>42571.17</v>
      </c>
      <c r="G161" s="214">
        <v>41083.300000000003</v>
      </c>
      <c r="H161" s="215">
        <v>49299.96</v>
      </c>
      <c r="I161" s="216"/>
    </row>
    <row r="162" spans="1:9" hidden="1" x14ac:dyDescent="0.3">
      <c r="A162" s="211" t="s">
        <v>594</v>
      </c>
      <c r="B162" s="211" t="s">
        <v>280</v>
      </c>
      <c r="C162" s="211" t="s">
        <v>415</v>
      </c>
      <c r="D162" s="199"/>
      <c r="E162" s="214" t="s">
        <v>595</v>
      </c>
      <c r="F162" s="214">
        <v>48017.7</v>
      </c>
      <c r="G162" s="214">
        <v>0</v>
      </c>
      <c r="H162" s="215">
        <v>0</v>
      </c>
      <c r="I162" s="216"/>
    </row>
    <row r="163" spans="1:9" hidden="1" x14ac:dyDescent="0.3">
      <c r="A163" s="211" t="s">
        <v>596</v>
      </c>
      <c r="B163" s="211" t="s">
        <v>524</v>
      </c>
      <c r="C163" s="211" t="s">
        <v>415</v>
      </c>
      <c r="D163" s="199"/>
      <c r="E163" s="214" t="s">
        <v>597</v>
      </c>
      <c r="F163" s="214">
        <v>438.9</v>
      </c>
      <c r="G163" s="214">
        <v>0</v>
      </c>
      <c r="H163" s="215">
        <v>0</v>
      </c>
      <c r="I163" s="216"/>
    </row>
    <row r="164" spans="1:9" hidden="1" x14ac:dyDescent="0.3">
      <c r="A164" s="211" t="s">
        <v>598</v>
      </c>
      <c r="B164" s="211" t="s">
        <v>280</v>
      </c>
      <c r="C164" s="211" t="s">
        <v>415</v>
      </c>
      <c r="D164" s="199"/>
      <c r="E164" s="214" t="s">
        <v>599</v>
      </c>
      <c r="F164" s="214">
        <v>21423.33</v>
      </c>
      <c r="G164" s="214">
        <v>0</v>
      </c>
      <c r="H164" s="215">
        <v>0</v>
      </c>
      <c r="I164" s="216"/>
    </row>
    <row r="165" spans="1:9" hidden="1" x14ac:dyDescent="0.3">
      <c r="A165" s="211" t="s">
        <v>600</v>
      </c>
      <c r="B165" s="211" t="s">
        <v>280</v>
      </c>
      <c r="C165" s="211" t="s">
        <v>415</v>
      </c>
      <c r="D165" s="199"/>
      <c r="E165" s="214" t="s">
        <v>601</v>
      </c>
      <c r="F165" s="214">
        <v>2838.47</v>
      </c>
      <c r="G165" s="214">
        <v>0</v>
      </c>
      <c r="H165" s="215">
        <v>0</v>
      </c>
      <c r="I165" s="216"/>
    </row>
    <row r="166" spans="1:9" hidden="1" x14ac:dyDescent="0.3">
      <c r="A166" s="211" t="s">
        <v>602</v>
      </c>
      <c r="B166" s="211" t="s">
        <v>280</v>
      </c>
      <c r="C166" s="211" t="s">
        <v>415</v>
      </c>
      <c r="D166" s="199"/>
      <c r="E166" s="214" t="s">
        <v>603</v>
      </c>
      <c r="F166" s="214">
        <v>55738.84</v>
      </c>
      <c r="G166" s="214">
        <v>0</v>
      </c>
      <c r="H166" s="215">
        <v>0</v>
      </c>
      <c r="I166" s="216"/>
    </row>
    <row r="167" spans="1:9" hidden="1" x14ac:dyDescent="0.3">
      <c r="A167" s="211" t="s">
        <v>604</v>
      </c>
      <c r="B167" s="211" t="s">
        <v>283</v>
      </c>
      <c r="C167" s="211" t="s">
        <v>415</v>
      </c>
      <c r="D167" s="199"/>
      <c r="E167" s="214" t="s">
        <v>605</v>
      </c>
      <c r="F167" s="214">
        <v>6330.62</v>
      </c>
      <c r="G167" s="214">
        <v>0</v>
      </c>
      <c r="H167" s="215">
        <v>0</v>
      </c>
      <c r="I167" s="216"/>
    </row>
    <row r="168" spans="1:9" hidden="1" x14ac:dyDescent="0.3">
      <c r="A168" s="211" t="s">
        <v>606</v>
      </c>
      <c r="B168" s="211" t="s">
        <v>287</v>
      </c>
      <c r="C168" s="211" t="s">
        <v>415</v>
      </c>
      <c r="D168" s="199"/>
      <c r="E168" s="214" t="s">
        <v>607</v>
      </c>
      <c r="F168" s="214">
        <v>9301.5400000000009</v>
      </c>
      <c r="G168" s="214">
        <v>0</v>
      </c>
      <c r="H168" s="215">
        <v>0</v>
      </c>
      <c r="I168" s="216"/>
    </row>
    <row r="169" spans="1:9" hidden="1" x14ac:dyDescent="0.3">
      <c r="A169" s="211" t="s">
        <v>608</v>
      </c>
      <c r="B169" s="211" t="s">
        <v>412</v>
      </c>
      <c r="C169" s="211" t="s">
        <v>415</v>
      </c>
      <c r="D169" s="199"/>
      <c r="E169" s="214" t="s">
        <v>609</v>
      </c>
      <c r="F169" s="214">
        <v>41438.19</v>
      </c>
      <c r="G169" s="214">
        <v>0</v>
      </c>
      <c r="H169" s="215">
        <v>0</v>
      </c>
      <c r="I169" s="216"/>
    </row>
    <row r="170" spans="1:9" hidden="1" x14ac:dyDescent="0.3">
      <c r="A170" s="211" t="s">
        <v>610</v>
      </c>
      <c r="B170" s="211" t="s">
        <v>412</v>
      </c>
      <c r="C170" s="211" t="s">
        <v>415</v>
      </c>
      <c r="D170" s="199"/>
      <c r="E170" s="214" t="s">
        <v>611</v>
      </c>
      <c r="F170" s="214">
        <v>27674.68</v>
      </c>
      <c r="G170" s="214">
        <v>0</v>
      </c>
      <c r="H170" s="215">
        <v>0</v>
      </c>
      <c r="I170" s="216"/>
    </row>
    <row r="171" spans="1:9" hidden="1" x14ac:dyDescent="0.3">
      <c r="A171" s="211" t="s">
        <v>612</v>
      </c>
      <c r="B171" s="211" t="s">
        <v>412</v>
      </c>
      <c r="C171" s="211" t="s">
        <v>415</v>
      </c>
      <c r="D171" s="199"/>
      <c r="E171" s="214" t="s">
        <v>613</v>
      </c>
      <c r="F171" s="214">
        <v>11815.29</v>
      </c>
      <c r="G171" s="214">
        <v>0</v>
      </c>
      <c r="H171" s="215">
        <v>0</v>
      </c>
      <c r="I171" s="216"/>
    </row>
    <row r="172" spans="1:9" hidden="1" x14ac:dyDescent="0.3">
      <c r="A172" s="211" t="s">
        <v>614</v>
      </c>
      <c r="B172" s="211" t="s">
        <v>558</v>
      </c>
      <c r="C172" s="211" t="s">
        <v>415</v>
      </c>
      <c r="D172" s="199"/>
      <c r="E172" s="214" t="s">
        <v>615</v>
      </c>
      <c r="F172" s="214">
        <v>28648.79</v>
      </c>
      <c r="G172" s="214">
        <v>0</v>
      </c>
      <c r="H172" s="215">
        <v>0</v>
      </c>
      <c r="I172" s="216"/>
    </row>
    <row r="173" spans="1:9" hidden="1" x14ac:dyDescent="0.3">
      <c r="A173" s="211" t="s">
        <v>616</v>
      </c>
      <c r="B173" s="211" t="s">
        <v>412</v>
      </c>
      <c r="C173" s="211" t="s">
        <v>415</v>
      </c>
      <c r="D173" s="199"/>
      <c r="E173" s="214" t="s">
        <v>617</v>
      </c>
      <c r="F173" s="214">
        <v>6932.98</v>
      </c>
      <c r="G173" s="214">
        <v>0</v>
      </c>
      <c r="H173" s="215">
        <v>0</v>
      </c>
      <c r="I173" s="216"/>
    </row>
    <row r="174" spans="1:9" hidden="1" x14ac:dyDescent="0.3">
      <c r="A174" s="211" t="s">
        <v>618</v>
      </c>
      <c r="B174" s="211" t="s">
        <v>422</v>
      </c>
      <c r="C174" s="211" t="s">
        <v>451</v>
      </c>
      <c r="D174" s="199"/>
      <c r="E174" s="214" t="s">
        <v>619</v>
      </c>
      <c r="F174" s="214">
        <v>17737.63</v>
      </c>
      <c r="G174" s="214">
        <v>12500</v>
      </c>
      <c r="H174" s="215">
        <v>15000</v>
      </c>
      <c r="I174" s="216"/>
    </row>
    <row r="175" spans="1:9" hidden="1" x14ac:dyDescent="0.3">
      <c r="A175" s="211" t="s">
        <v>620</v>
      </c>
      <c r="B175" s="211" t="s">
        <v>473</v>
      </c>
      <c r="C175" s="211" t="s">
        <v>415</v>
      </c>
      <c r="D175" s="199"/>
      <c r="E175" s="214" t="s">
        <v>621</v>
      </c>
      <c r="F175" s="214">
        <v>8791.7999999999993</v>
      </c>
      <c r="G175" s="214">
        <v>0</v>
      </c>
      <c r="H175" s="215">
        <v>0</v>
      </c>
      <c r="I175" s="216"/>
    </row>
    <row r="176" spans="1:9" hidden="1" x14ac:dyDescent="0.3">
      <c r="A176" s="211" t="s">
        <v>622</v>
      </c>
      <c r="B176" s="211" t="s">
        <v>473</v>
      </c>
      <c r="C176" s="211" t="s">
        <v>415</v>
      </c>
      <c r="D176" s="199"/>
      <c r="E176" s="214" t="s">
        <v>623</v>
      </c>
      <c r="F176" s="214">
        <v>14432.11</v>
      </c>
      <c r="G176" s="214">
        <v>12500</v>
      </c>
      <c r="H176" s="215">
        <v>15000</v>
      </c>
      <c r="I176" s="216"/>
    </row>
    <row r="177" spans="1:9" hidden="1" x14ac:dyDescent="0.3">
      <c r="A177" s="211" t="s">
        <v>624</v>
      </c>
      <c r="B177" s="211" t="s">
        <v>247</v>
      </c>
      <c r="C177" s="211" t="s">
        <v>576</v>
      </c>
      <c r="D177" s="199"/>
      <c r="E177" s="214" t="s">
        <v>625</v>
      </c>
      <c r="F177" s="214">
        <v>0</v>
      </c>
      <c r="G177" s="214">
        <v>6250</v>
      </c>
      <c r="H177" s="215">
        <v>7500</v>
      </c>
      <c r="I177" s="216"/>
    </row>
    <row r="178" spans="1:9" hidden="1" x14ac:dyDescent="0.3">
      <c r="A178" s="211" t="s">
        <v>626</v>
      </c>
      <c r="B178" s="211" t="s">
        <v>480</v>
      </c>
      <c r="C178" s="211" t="s">
        <v>415</v>
      </c>
      <c r="D178" s="199"/>
      <c r="E178" s="214" t="s">
        <v>627</v>
      </c>
      <c r="F178" s="214">
        <v>15608.56</v>
      </c>
      <c r="G178" s="214">
        <v>12500</v>
      </c>
      <c r="H178" s="215">
        <v>15000</v>
      </c>
      <c r="I178" s="216"/>
    </row>
    <row r="179" spans="1:9" hidden="1" x14ac:dyDescent="0.3">
      <c r="A179" s="211" t="s">
        <v>628</v>
      </c>
      <c r="B179" s="211" t="s">
        <v>422</v>
      </c>
      <c r="C179" s="211" t="s">
        <v>451</v>
      </c>
      <c r="D179" s="199"/>
      <c r="E179" s="214" t="s">
        <v>629</v>
      </c>
      <c r="F179" s="214">
        <v>41537.51</v>
      </c>
      <c r="G179" s="214">
        <v>25000</v>
      </c>
      <c r="H179" s="215">
        <v>30000</v>
      </c>
      <c r="I179" s="216"/>
    </row>
    <row r="180" spans="1:9" hidden="1" x14ac:dyDescent="0.3">
      <c r="A180" s="211" t="s">
        <v>630</v>
      </c>
      <c r="B180" s="211" t="s">
        <v>490</v>
      </c>
      <c r="C180" s="211" t="s">
        <v>415</v>
      </c>
      <c r="D180" s="199"/>
      <c r="E180" s="214" t="s">
        <v>631</v>
      </c>
      <c r="F180" s="214">
        <v>31733.3</v>
      </c>
      <c r="G180" s="214">
        <v>12500</v>
      </c>
      <c r="H180" s="215">
        <v>15000</v>
      </c>
      <c r="I180" s="216"/>
    </row>
    <row r="181" spans="1:9" hidden="1" x14ac:dyDescent="0.3">
      <c r="A181" s="211" t="s">
        <v>632</v>
      </c>
      <c r="B181" s="211" t="s">
        <v>251</v>
      </c>
      <c r="C181" s="211" t="s">
        <v>415</v>
      </c>
      <c r="D181" s="199"/>
      <c r="E181" s="214" t="s">
        <v>633</v>
      </c>
      <c r="F181" s="214">
        <v>161912.38</v>
      </c>
      <c r="G181" s="214">
        <v>120000</v>
      </c>
      <c r="H181" s="215">
        <v>144000</v>
      </c>
      <c r="I181" s="216"/>
    </row>
    <row r="182" spans="1:9" hidden="1" x14ac:dyDescent="0.3">
      <c r="A182" s="211" t="s">
        <v>634</v>
      </c>
      <c r="B182" s="211" t="s">
        <v>257</v>
      </c>
      <c r="C182" s="211" t="s">
        <v>415</v>
      </c>
      <c r="D182" s="199"/>
      <c r="E182" s="214" t="s">
        <v>635</v>
      </c>
      <c r="F182" s="214">
        <v>141955.99</v>
      </c>
      <c r="G182" s="214">
        <v>137500</v>
      </c>
      <c r="H182" s="215">
        <v>165000</v>
      </c>
      <c r="I182" s="216"/>
    </row>
    <row r="183" spans="1:9" hidden="1" x14ac:dyDescent="0.3">
      <c r="A183" s="211" t="s">
        <v>636</v>
      </c>
      <c r="B183" s="211" t="s">
        <v>490</v>
      </c>
      <c r="C183" s="211" t="s">
        <v>415</v>
      </c>
      <c r="D183" s="199"/>
      <c r="E183" s="214" t="s">
        <v>637</v>
      </c>
      <c r="F183" s="214">
        <v>2286.6799999999998</v>
      </c>
      <c r="G183" s="214">
        <v>4166.7</v>
      </c>
      <c r="H183" s="215">
        <v>5000.0399999999991</v>
      </c>
      <c r="I183" s="216"/>
    </row>
    <row r="184" spans="1:9" hidden="1" x14ac:dyDescent="0.3">
      <c r="A184" s="211" t="s">
        <v>638</v>
      </c>
      <c r="B184" s="211" t="s">
        <v>490</v>
      </c>
      <c r="C184" s="211" t="s">
        <v>415</v>
      </c>
      <c r="D184" s="199"/>
      <c r="E184" s="214" t="s">
        <v>639</v>
      </c>
      <c r="F184" s="214">
        <v>32835.300000000003</v>
      </c>
      <c r="G184" s="214">
        <v>41666.699999999997</v>
      </c>
      <c r="H184" s="215">
        <v>50000.04</v>
      </c>
      <c r="I184" s="216"/>
    </row>
    <row r="185" spans="1:9" hidden="1" x14ac:dyDescent="0.3">
      <c r="A185" s="211" t="s">
        <v>640</v>
      </c>
      <c r="B185" s="211" t="s">
        <v>280</v>
      </c>
      <c r="C185" s="211" t="s">
        <v>415</v>
      </c>
      <c r="D185" s="199"/>
      <c r="E185" s="214" t="s">
        <v>641</v>
      </c>
      <c r="F185" s="214">
        <v>68563.14</v>
      </c>
      <c r="G185" s="214">
        <v>32166.7</v>
      </c>
      <c r="H185" s="215">
        <v>38600.04</v>
      </c>
      <c r="I185" s="216"/>
    </row>
    <row r="186" spans="1:9" hidden="1" x14ac:dyDescent="0.3">
      <c r="A186" s="211" t="s">
        <v>642</v>
      </c>
      <c r="B186" s="211" t="s">
        <v>280</v>
      </c>
      <c r="C186" s="211" t="s">
        <v>415</v>
      </c>
      <c r="D186" s="199"/>
      <c r="E186" s="214" t="s">
        <v>643</v>
      </c>
      <c r="F186" s="214">
        <v>1973.66</v>
      </c>
      <c r="G186" s="214">
        <v>16083.3</v>
      </c>
      <c r="H186" s="215">
        <v>19299.96</v>
      </c>
      <c r="I186" s="216"/>
    </row>
    <row r="187" spans="1:9" hidden="1" x14ac:dyDescent="0.3">
      <c r="A187" s="211" t="s">
        <v>644</v>
      </c>
      <c r="B187" s="211" t="s">
        <v>280</v>
      </c>
      <c r="C187" s="211" t="s">
        <v>415</v>
      </c>
      <c r="D187" s="199"/>
      <c r="E187" s="214" t="s">
        <v>645</v>
      </c>
      <c r="F187" s="214">
        <v>139340.14000000001</v>
      </c>
      <c r="G187" s="214">
        <v>117083.3</v>
      </c>
      <c r="H187" s="215">
        <v>140499.96</v>
      </c>
      <c r="I187" s="216"/>
    </row>
    <row r="188" spans="1:9" hidden="1" x14ac:dyDescent="0.3">
      <c r="A188" s="211" t="s">
        <v>646</v>
      </c>
      <c r="B188" s="211" t="s">
        <v>280</v>
      </c>
      <c r="C188" s="211" t="s">
        <v>415</v>
      </c>
      <c r="D188" s="199"/>
      <c r="E188" s="214" t="s">
        <v>647</v>
      </c>
      <c r="F188" s="214">
        <v>117764.86</v>
      </c>
      <c r="G188" s="214">
        <v>61333.3</v>
      </c>
      <c r="H188" s="215">
        <v>73599.959999999992</v>
      </c>
      <c r="I188" s="216"/>
    </row>
    <row r="189" spans="1:9" hidden="1" x14ac:dyDescent="0.3">
      <c r="A189" s="211" t="s">
        <v>648</v>
      </c>
      <c r="B189" s="211" t="s">
        <v>280</v>
      </c>
      <c r="C189" s="211" t="s">
        <v>415</v>
      </c>
      <c r="D189" s="199"/>
      <c r="E189" s="214" t="s">
        <v>649</v>
      </c>
      <c r="F189" s="214">
        <v>0</v>
      </c>
      <c r="G189" s="214">
        <v>13000</v>
      </c>
      <c r="H189" s="215">
        <v>15600</v>
      </c>
      <c r="I189" s="216"/>
    </row>
    <row r="190" spans="1:9" hidden="1" x14ac:dyDescent="0.3">
      <c r="A190" s="211" t="s">
        <v>650</v>
      </c>
      <c r="B190" s="211" t="s">
        <v>283</v>
      </c>
      <c r="C190" s="211" t="s">
        <v>415</v>
      </c>
      <c r="D190" s="199"/>
      <c r="E190" s="214" t="s">
        <v>651</v>
      </c>
      <c r="F190" s="214">
        <v>73495.72</v>
      </c>
      <c r="G190" s="214">
        <v>51000</v>
      </c>
      <c r="H190" s="215">
        <v>61200</v>
      </c>
      <c r="I190" s="216"/>
    </row>
    <row r="191" spans="1:9" hidden="1" x14ac:dyDescent="0.3">
      <c r="A191" s="211" t="s">
        <v>652</v>
      </c>
      <c r="B191" s="211" t="s">
        <v>287</v>
      </c>
      <c r="C191" s="211" t="s">
        <v>576</v>
      </c>
      <c r="D191" s="199"/>
      <c r="E191" s="214" t="s">
        <v>653</v>
      </c>
      <c r="F191" s="214">
        <v>72662.740000000005</v>
      </c>
      <c r="G191" s="214">
        <v>12500</v>
      </c>
      <c r="H191" s="215">
        <v>15000</v>
      </c>
      <c r="I191" s="216"/>
    </row>
    <row r="192" spans="1:9" hidden="1" x14ac:dyDescent="0.3">
      <c r="A192" s="211" t="s">
        <v>654</v>
      </c>
      <c r="B192" s="211" t="s">
        <v>306</v>
      </c>
      <c r="C192" s="211" t="s">
        <v>415</v>
      </c>
      <c r="D192" s="199"/>
      <c r="E192" s="214" t="s">
        <v>655</v>
      </c>
      <c r="F192" s="214">
        <v>3235.37</v>
      </c>
      <c r="G192" s="214">
        <v>0</v>
      </c>
      <c r="H192" s="215">
        <v>0</v>
      </c>
      <c r="I192" s="216"/>
    </row>
    <row r="193" spans="1:9" hidden="1" x14ac:dyDescent="0.3">
      <c r="A193" s="211" t="s">
        <v>656</v>
      </c>
      <c r="B193" s="211" t="s">
        <v>412</v>
      </c>
      <c r="C193" s="211" t="s">
        <v>415</v>
      </c>
      <c r="D193" s="199"/>
      <c r="E193" s="214" t="s">
        <v>657</v>
      </c>
      <c r="F193" s="214">
        <v>137796.74</v>
      </c>
      <c r="G193" s="214">
        <v>50333.3</v>
      </c>
      <c r="H193" s="215">
        <v>60399.96</v>
      </c>
      <c r="I193" s="216"/>
    </row>
    <row r="194" spans="1:9" hidden="1" x14ac:dyDescent="0.3">
      <c r="A194" s="211" t="s">
        <v>658</v>
      </c>
      <c r="B194" s="211" t="s">
        <v>412</v>
      </c>
      <c r="C194" s="211" t="s">
        <v>415</v>
      </c>
      <c r="D194" s="199"/>
      <c r="E194" s="214" t="s">
        <v>659</v>
      </c>
      <c r="F194" s="214">
        <v>57955.47</v>
      </c>
      <c r="G194" s="214">
        <v>25166.7</v>
      </c>
      <c r="H194" s="215">
        <v>30200.04</v>
      </c>
      <c r="I194" s="216"/>
    </row>
    <row r="195" spans="1:9" hidden="1" x14ac:dyDescent="0.3">
      <c r="A195" s="211" t="s">
        <v>660</v>
      </c>
      <c r="B195" s="211" t="s">
        <v>412</v>
      </c>
      <c r="C195" s="211" t="s">
        <v>415</v>
      </c>
      <c r="D195" s="199"/>
      <c r="E195" s="214" t="s">
        <v>661</v>
      </c>
      <c r="F195" s="214">
        <v>231677.22</v>
      </c>
      <c r="G195" s="214">
        <v>123750</v>
      </c>
      <c r="H195" s="215">
        <v>148500</v>
      </c>
      <c r="I195" s="216"/>
    </row>
    <row r="196" spans="1:9" hidden="1" x14ac:dyDescent="0.3">
      <c r="A196" s="211" t="s">
        <v>662</v>
      </c>
      <c r="B196" s="211" t="s">
        <v>306</v>
      </c>
      <c r="C196" s="211" t="s">
        <v>415</v>
      </c>
      <c r="D196" s="199"/>
      <c r="E196" s="214" t="s">
        <v>663</v>
      </c>
      <c r="F196" s="214">
        <v>18557.849999999999</v>
      </c>
      <c r="G196" s="214">
        <v>0</v>
      </c>
      <c r="H196" s="215">
        <v>0</v>
      </c>
      <c r="I196" s="216"/>
    </row>
    <row r="197" spans="1:9" hidden="1" x14ac:dyDescent="0.3">
      <c r="A197" s="211" t="s">
        <v>664</v>
      </c>
      <c r="B197" s="211" t="s">
        <v>558</v>
      </c>
      <c r="C197" s="211" t="s">
        <v>415</v>
      </c>
      <c r="D197" s="199"/>
      <c r="E197" s="214" t="s">
        <v>665</v>
      </c>
      <c r="F197" s="214">
        <v>109967.55</v>
      </c>
      <c r="G197" s="214">
        <v>50333.3</v>
      </c>
      <c r="H197" s="215">
        <v>60399.96</v>
      </c>
      <c r="I197" s="216"/>
    </row>
    <row r="198" spans="1:9" hidden="1" x14ac:dyDescent="0.3">
      <c r="A198" s="211" t="s">
        <v>666</v>
      </c>
      <c r="B198" s="211" t="s">
        <v>290</v>
      </c>
      <c r="C198" s="211" t="s">
        <v>415</v>
      </c>
      <c r="D198" s="199"/>
      <c r="E198" s="214" t="s">
        <v>667</v>
      </c>
      <c r="F198" s="214">
        <v>4426.47</v>
      </c>
      <c r="G198" s="214">
        <v>0</v>
      </c>
      <c r="H198" s="215">
        <v>0</v>
      </c>
      <c r="I198" s="216"/>
    </row>
    <row r="199" spans="1:9" hidden="1" x14ac:dyDescent="0.3">
      <c r="A199" s="211" t="s">
        <v>668</v>
      </c>
      <c r="B199" s="211" t="s">
        <v>412</v>
      </c>
      <c r="C199" s="211" t="s">
        <v>415</v>
      </c>
      <c r="D199" s="199"/>
      <c r="E199" s="214" t="s">
        <v>669</v>
      </c>
      <c r="F199" s="214">
        <v>34238.35</v>
      </c>
      <c r="G199" s="214">
        <v>0</v>
      </c>
      <c r="H199" s="215">
        <v>0</v>
      </c>
      <c r="I199" s="216"/>
    </row>
    <row r="200" spans="1:9" hidden="1" x14ac:dyDescent="0.3">
      <c r="A200" s="211" t="s">
        <v>670</v>
      </c>
      <c r="B200" s="211" t="s">
        <v>422</v>
      </c>
      <c r="C200" s="211" t="s">
        <v>451</v>
      </c>
      <c r="D200" s="199"/>
      <c r="E200" s="214" t="s">
        <v>671</v>
      </c>
      <c r="F200" s="214">
        <v>12946.35</v>
      </c>
      <c r="G200" s="214">
        <v>13000</v>
      </c>
      <c r="H200" s="215">
        <v>15600</v>
      </c>
      <c r="I200" s="216"/>
    </row>
    <row r="201" spans="1:9" hidden="1" x14ac:dyDescent="0.3">
      <c r="A201" s="211" t="s">
        <v>672</v>
      </c>
      <c r="B201" s="211" t="s">
        <v>460</v>
      </c>
      <c r="C201" s="211" t="s">
        <v>451</v>
      </c>
      <c r="D201" s="199"/>
      <c r="E201" s="214" t="s">
        <v>673</v>
      </c>
      <c r="F201" s="214">
        <v>12900</v>
      </c>
      <c r="G201" s="214">
        <v>13000</v>
      </c>
      <c r="H201" s="215">
        <v>15600</v>
      </c>
      <c r="I201" s="216"/>
    </row>
    <row r="202" spans="1:9" hidden="1" x14ac:dyDescent="0.3">
      <c r="A202" s="211" t="s">
        <v>674</v>
      </c>
      <c r="B202" s="211" t="s">
        <v>412</v>
      </c>
      <c r="C202" s="211" t="s">
        <v>415</v>
      </c>
      <c r="D202" s="199"/>
      <c r="E202" s="214" t="s">
        <v>675</v>
      </c>
      <c r="F202" s="214">
        <v>70822.48</v>
      </c>
      <c r="G202" s="214">
        <v>66666.7</v>
      </c>
      <c r="H202" s="215">
        <v>80000.040000000008</v>
      </c>
      <c r="I202" s="216"/>
    </row>
    <row r="203" spans="1:9" hidden="1" x14ac:dyDescent="0.3">
      <c r="A203" s="211" t="s">
        <v>676</v>
      </c>
      <c r="B203" s="211" t="s">
        <v>422</v>
      </c>
      <c r="C203" s="211" t="s">
        <v>677</v>
      </c>
      <c r="D203" s="199"/>
      <c r="E203" s="214" t="s">
        <v>678</v>
      </c>
      <c r="F203" s="214">
        <v>12632.4</v>
      </c>
      <c r="G203" s="214">
        <v>15583.3</v>
      </c>
      <c r="H203" s="215">
        <v>18699.96</v>
      </c>
      <c r="I203" s="216"/>
    </row>
    <row r="204" spans="1:9" hidden="1" x14ac:dyDescent="0.3">
      <c r="A204" s="211" t="s">
        <v>679</v>
      </c>
      <c r="B204" s="211" t="s">
        <v>454</v>
      </c>
      <c r="C204" s="211" t="s">
        <v>677</v>
      </c>
      <c r="D204" s="199"/>
      <c r="E204" s="214" t="s">
        <v>680</v>
      </c>
      <c r="F204" s="214">
        <v>9960.9699999999993</v>
      </c>
      <c r="G204" s="214">
        <v>8833.2999999999993</v>
      </c>
      <c r="H204" s="215">
        <v>10599.96</v>
      </c>
      <c r="I204" s="216"/>
    </row>
    <row r="205" spans="1:9" hidden="1" x14ac:dyDescent="0.3">
      <c r="A205" s="211" t="s">
        <v>681</v>
      </c>
      <c r="B205" s="211" t="s">
        <v>457</v>
      </c>
      <c r="C205" s="211" t="s">
        <v>677</v>
      </c>
      <c r="D205" s="199"/>
      <c r="E205" s="214" t="s">
        <v>682</v>
      </c>
      <c r="F205" s="214">
        <v>9715.24</v>
      </c>
      <c r="G205" s="214">
        <v>10500</v>
      </c>
      <c r="H205" s="215">
        <v>12600</v>
      </c>
      <c r="I205" s="216"/>
    </row>
    <row r="206" spans="1:9" hidden="1" x14ac:dyDescent="0.3">
      <c r="A206" s="211" t="s">
        <v>683</v>
      </c>
      <c r="B206" s="211" t="s">
        <v>460</v>
      </c>
      <c r="C206" s="211" t="s">
        <v>677</v>
      </c>
      <c r="D206" s="199"/>
      <c r="E206" s="214" t="s">
        <v>684</v>
      </c>
      <c r="F206" s="214">
        <v>7074.62</v>
      </c>
      <c r="G206" s="214">
        <v>7166.7</v>
      </c>
      <c r="H206" s="215">
        <v>8600.0399999999991</v>
      </c>
      <c r="I206" s="216"/>
    </row>
    <row r="207" spans="1:9" hidden="1" x14ac:dyDescent="0.3">
      <c r="A207" s="211" t="s">
        <v>685</v>
      </c>
      <c r="B207" s="211" t="s">
        <v>402</v>
      </c>
      <c r="C207" s="211" t="s">
        <v>677</v>
      </c>
      <c r="D207" s="199"/>
      <c r="E207" s="214" t="s">
        <v>686</v>
      </c>
      <c r="F207" s="214">
        <v>3132.79</v>
      </c>
      <c r="G207" s="214">
        <v>2250</v>
      </c>
      <c r="H207" s="215">
        <v>2700</v>
      </c>
      <c r="I207" s="216"/>
    </row>
    <row r="208" spans="1:9" hidden="1" x14ac:dyDescent="0.3">
      <c r="A208" s="211" t="s">
        <v>687</v>
      </c>
      <c r="B208" s="211" t="s">
        <v>465</v>
      </c>
      <c r="C208" s="211" t="s">
        <v>677</v>
      </c>
      <c r="D208" s="199"/>
      <c r="E208" s="214" t="s">
        <v>688</v>
      </c>
      <c r="F208" s="214">
        <v>3774.34</v>
      </c>
      <c r="G208" s="214">
        <v>0</v>
      </c>
      <c r="H208" s="215">
        <v>0</v>
      </c>
      <c r="I208" s="216"/>
    </row>
    <row r="209" spans="1:9" hidden="1" x14ac:dyDescent="0.3">
      <c r="A209" s="211" t="s">
        <v>689</v>
      </c>
      <c r="B209" s="211" t="s">
        <v>468</v>
      </c>
      <c r="C209" s="211" t="s">
        <v>677</v>
      </c>
      <c r="D209" s="199"/>
      <c r="E209" s="214" t="s">
        <v>690</v>
      </c>
      <c r="F209" s="214">
        <v>3906.89</v>
      </c>
      <c r="G209" s="214">
        <v>4166.7</v>
      </c>
      <c r="H209" s="215">
        <v>5000.0399999999991</v>
      </c>
      <c r="I209" s="216"/>
    </row>
    <row r="210" spans="1:9" hidden="1" x14ac:dyDescent="0.3">
      <c r="A210" s="211" t="s">
        <v>691</v>
      </c>
      <c r="B210" s="211" t="s">
        <v>465</v>
      </c>
      <c r="C210" s="211" t="s">
        <v>692</v>
      </c>
      <c r="D210" s="199"/>
      <c r="E210" s="214" t="s">
        <v>693</v>
      </c>
      <c r="F210" s="214">
        <v>68412.33</v>
      </c>
      <c r="G210" s="214">
        <v>77666.7</v>
      </c>
      <c r="H210" s="215">
        <v>93200.040000000008</v>
      </c>
      <c r="I210" s="216"/>
    </row>
    <row r="211" spans="1:9" hidden="1" x14ac:dyDescent="0.3">
      <c r="A211" s="211" t="s">
        <v>694</v>
      </c>
      <c r="B211" s="211" t="s">
        <v>473</v>
      </c>
      <c r="C211" s="211" t="s">
        <v>692</v>
      </c>
      <c r="D211" s="199"/>
      <c r="E211" s="214" t="s">
        <v>695</v>
      </c>
      <c r="F211" s="214">
        <v>367.83</v>
      </c>
      <c r="G211" s="214">
        <v>0</v>
      </c>
      <c r="H211" s="215">
        <v>0</v>
      </c>
      <c r="I211" s="216"/>
    </row>
    <row r="212" spans="1:9" hidden="1" x14ac:dyDescent="0.3">
      <c r="A212" s="211" t="s">
        <v>696</v>
      </c>
      <c r="B212" s="211" t="s">
        <v>473</v>
      </c>
      <c r="C212" s="211" t="s">
        <v>692</v>
      </c>
      <c r="D212" s="199"/>
      <c r="E212" s="214" t="s">
        <v>697</v>
      </c>
      <c r="F212" s="214">
        <v>14846.63</v>
      </c>
      <c r="G212" s="214">
        <v>16083.3</v>
      </c>
      <c r="H212" s="215">
        <v>19299.96</v>
      </c>
      <c r="I212" s="216"/>
    </row>
    <row r="213" spans="1:9" hidden="1" x14ac:dyDescent="0.3">
      <c r="A213" s="211" t="s">
        <v>698</v>
      </c>
      <c r="B213" s="211" t="s">
        <v>247</v>
      </c>
      <c r="C213" s="211" t="s">
        <v>692</v>
      </c>
      <c r="D213" s="199"/>
      <c r="E213" s="214" t="s">
        <v>699</v>
      </c>
      <c r="F213" s="214">
        <v>3446.39</v>
      </c>
      <c r="G213" s="214">
        <v>3750</v>
      </c>
      <c r="H213" s="215">
        <v>4500</v>
      </c>
      <c r="I213" s="216"/>
    </row>
    <row r="214" spans="1:9" hidden="1" x14ac:dyDescent="0.3">
      <c r="A214" s="211" t="s">
        <v>700</v>
      </c>
      <c r="B214" s="211" t="s">
        <v>480</v>
      </c>
      <c r="C214" s="211" t="s">
        <v>692</v>
      </c>
      <c r="D214" s="199"/>
      <c r="E214" s="214" t="s">
        <v>701</v>
      </c>
      <c r="F214" s="214">
        <v>10483.86</v>
      </c>
      <c r="G214" s="214">
        <v>12083.3</v>
      </c>
      <c r="H214" s="215">
        <v>14499.96</v>
      </c>
      <c r="I214" s="216"/>
    </row>
    <row r="215" spans="1:9" hidden="1" x14ac:dyDescent="0.3">
      <c r="A215" s="211" t="s">
        <v>702</v>
      </c>
      <c r="B215" s="211" t="s">
        <v>422</v>
      </c>
      <c r="C215" s="211" t="s">
        <v>677</v>
      </c>
      <c r="D215" s="199"/>
      <c r="E215" s="214" t="s">
        <v>703</v>
      </c>
      <c r="F215" s="214">
        <v>5551.93</v>
      </c>
      <c r="G215" s="214">
        <v>5416.7</v>
      </c>
      <c r="H215" s="215">
        <v>6500.0399999999991</v>
      </c>
      <c r="I215" s="216"/>
    </row>
    <row r="216" spans="1:9" hidden="1" x14ac:dyDescent="0.3">
      <c r="A216" s="211" t="s">
        <v>704</v>
      </c>
      <c r="B216" s="211" t="s">
        <v>485</v>
      </c>
      <c r="C216" s="211" t="s">
        <v>692</v>
      </c>
      <c r="D216" s="199"/>
      <c r="E216" s="214" t="s">
        <v>705</v>
      </c>
      <c r="F216" s="214">
        <v>5268.49</v>
      </c>
      <c r="G216" s="214">
        <v>5250</v>
      </c>
      <c r="H216" s="215">
        <v>6300</v>
      </c>
      <c r="I216" s="216"/>
    </row>
    <row r="217" spans="1:9" hidden="1" x14ac:dyDescent="0.3">
      <c r="A217" s="211" t="s">
        <v>706</v>
      </c>
      <c r="B217" s="211" t="s">
        <v>465</v>
      </c>
      <c r="C217" s="211" t="s">
        <v>692</v>
      </c>
      <c r="D217" s="199"/>
      <c r="E217" s="214" t="s">
        <v>707</v>
      </c>
      <c r="F217" s="214">
        <v>10848.54</v>
      </c>
      <c r="G217" s="214">
        <v>12666.7</v>
      </c>
      <c r="H217" s="215">
        <v>15200.04</v>
      </c>
      <c r="I217" s="216"/>
    </row>
    <row r="218" spans="1:9" hidden="1" x14ac:dyDescent="0.3">
      <c r="A218" s="211" t="s">
        <v>708</v>
      </c>
      <c r="B218" s="211" t="s">
        <v>490</v>
      </c>
      <c r="C218" s="211" t="s">
        <v>692</v>
      </c>
      <c r="D218" s="199"/>
      <c r="E218" s="214" t="s">
        <v>709</v>
      </c>
      <c r="F218" s="214">
        <v>5092.3100000000004</v>
      </c>
      <c r="G218" s="214">
        <v>2750</v>
      </c>
      <c r="H218" s="215">
        <v>3300</v>
      </c>
      <c r="I218" s="216"/>
    </row>
    <row r="219" spans="1:9" hidden="1" x14ac:dyDescent="0.3">
      <c r="A219" s="211" t="s">
        <v>710</v>
      </c>
      <c r="B219" s="211" t="s">
        <v>280</v>
      </c>
      <c r="C219" s="211" t="s">
        <v>692</v>
      </c>
      <c r="D219" s="199"/>
      <c r="E219" s="214" t="s">
        <v>711</v>
      </c>
      <c r="F219" s="214">
        <v>1950.94</v>
      </c>
      <c r="G219" s="214">
        <v>2000</v>
      </c>
      <c r="H219" s="215">
        <v>2400</v>
      </c>
      <c r="I219" s="216"/>
    </row>
    <row r="220" spans="1:9" hidden="1" x14ac:dyDescent="0.3">
      <c r="A220" s="211" t="s">
        <v>712</v>
      </c>
      <c r="B220" s="211" t="s">
        <v>412</v>
      </c>
      <c r="C220" s="211" t="s">
        <v>692</v>
      </c>
      <c r="D220" s="199"/>
      <c r="E220" s="214" t="s">
        <v>713</v>
      </c>
      <c r="F220" s="214">
        <v>9445.2999999999993</v>
      </c>
      <c r="G220" s="214">
        <v>10250</v>
      </c>
      <c r="H220" s="215">
        <v>12300</v>
      </c>
      <c r="I220" s="216"/>
    </row>
    <row r="221" spans="1:9" hidden="1" x14ac:dyDescent="0.3">
      <c r="A221" s="211" t="s">
        <v>714</v>
      </c>
      <c r="B221" s="211" t="s">
        <v>497</v>
      </c>
      <c r="C221" s="211" t="s">
        <v>715</v>
      </c>
      <c r="D221" s="199"/>
      <c r="E221" s="214" t="s">
        <v>716</v>
      </c>
      <c r="F221" s="214">
        <v>3795.64</v>
      </c>
      <c r="G221" s="214">
        <v>4333.3</v>
      </c>
      <c r="H221" s="215">
        <v>5199.9600000000009</v>
      </c>
      <c r="I221" s="216"/>
    </row>
    <row r="222" spans="1:9" hidden="1" x14ac:dyDescent="0.3">
      <c r="A222" s="211" t="s">
        <v>717</v>
      </c>
      <c r="B222" s="211" t="s">
        <v>251</v>
      </c>
      <c r="C222" s="211" t="s">
        <v>692</v>
      </c>
      <c r="D222" s="199"/>
      <c r="E222" s="214" t="s">
        <v>718</v>
      </c>
      <c r="F222" s="214">
        <v>24170.1</v>
      </c>
      <c r="G222" s="214">
        <v>26250</v>
      </c>
      <c r="H222" s="215">
        <v>31500</v>
      </c>
      <c r="I222" s="216"/>
    </row>
    <row r="223" spans="1:9" hidden="1" x14ac:dyDescent="0.3">
      <c r="A223" s="211" t="s">
        <v>719</v>
      </c>
      <c r="B223" s="211" t="s">
        <v>257</v>
      </c>
      <c r="C223" s="211" t="s">
        <v>692</v>
      </c>
      <c r="D223" s="199"/>
      <c r="E223" s="214" t="s">
        <v>720</v>
      </c>
      <c r="F223" s="214">
        <v>6164.41</v>
      </c>
      <c r="G223" s="214">
        <v>0</v>
      </c>
      <c r="H223" s="215">
        <v>0</v>
      </c>
      <c r="I223" s="216"/>
    </row>
    <row r="224" spans="1:9" hidden="1" x14ac:dyDescent="0.3">
      <c r="A224" s="211" t="s">
        <v>721</v>
      </c>
      <c r="B224" s="211" t="s">
        <v>490</v>
      </c>
      <c r="C224" s="211" t="s">
        <v>692</v>
      </c>
      <c r="D224" s="199"/>
      <c r="E224" s="214" t="s">
        <v>722</v>
      </c>
      <c r="F224" s="214">
        <v>16191.2</v>
      </c>
      <c r="G224" s="214">
        <v>18416.7</v>
      </c>
      <c r="H224" s="215">
        <v>22100.04</v>
      </c>
      <c r="I224" s="216"/>
    </row>
    <row r="225" spans="1:9" hidden="1" x14ac:dyDescent="0.3">
      <c r="A225" s="211" t="s">
        <v>723</v>
      </c>
      <c r="B225" s="211" t="s">
        <v>508</v>
      </c>
      <c r="C225" s="211" t="s">
        <v>692</v>
      </c>
      <c r="D225" s="199"/>
      <c r="E225" s="214" t="s">
        <v>724</v>
      </c>
      <c r="F225" s="214">
        <v>1987.57</v>
      </c>
      <c r="G225" s="214">
        <v>2166.6999999999998</v>
      </c>
      <c r="H225" s="215">
        <v>2600.04</v>
      </c>
      <c r="I225" s="216"/>
    </row>
    <row r="226" spans="1:9" hidden="1" x14ac:dyDescent="0.3">
      <c r="A226" s="211" t="s">
        <v>725</v>
      </c>
      <c r="B226" s="211" t="s">
        <v>511</v>
      </c>
      <c r="C226" s="211" t="s">
        <v>692</v>
      </c>
      <c r="D226" s="199"/>
      <c r="E226" s="214" t="s">
        <v>726</v>
      </c>
      <c r="F226" s="214">
        <v>9061.15</v>
      </c>
      <c r="G226" s="214">
        <v>8666.7000000000007</v>
      </c>
      <c r="H226" s="215">
        <v>10400.040000000001</v>
      </c>
      <c r="I226" s="216"/>
    </row>
    <row r="227" spans="1:9" hidden="1" x14ac:dyDescent="0.3">
      <c r="A227" s="211" t="s">
        <v>727</v>
      </c>
      <c r="B227" s="211" t="s">
        <v>425</v>
      </c>
      <c r="C227" s="211" t="s">
        <v>677</v>
      </c>
      <c r="D227" s="199"/>
      <c r="E227" s="214" t="s">
        <v>728</v>
      </c>
      <c r="F227" s="214">
        <v>2034.44</v>
      </c>
      <c r="G227" s="214">
        <v>0</v>
      </c>
      <c r="H227" s="215">
        <v>0</v>
      </c>
      <c r="I227" s="216"/>
    </row>
    <row r="228" spans="1:9" hidden="1" x14ac:dyDescent="0.3">
      <c r="A228" s="211" t="s">
        <v>729</v>
      </c>
      <c r="B228" s="211" t="s">
        <v>422</v>
      </c>
      <c r="C228" s="211" t="s">
        <v>677</v>
      </c>
      <c r="D228" s="199"/>
      <c r="E228" s="214" t="s">
        <v>730</v>
      </c>
      <c r="F228" s="214">
        <v>1977.47</v>
      </c>
      <c r="G228" s="214">
        <v>2250</v>
      </c>
      <c r="H228" s="215">
        <v>2700</v>
      </c>
      <c r="I228" s="216"/>
    </row>
    <row r="229" spans="1:9" hidden="1" x14ac:dyDescent="0.3">
      <c r="A229" s="211" t="s">
        <v>731</v>
      </c>
      <c r="B229" s="211" t="s">
        <v>300</v>
      </c>
      <c r="C229" s="211" t="s">
        <v>692</v>
      </c>
      <c r="D229" s="199"/>
      <c r="E229" s="214" t="s">
        <v>732</v>
      </c>
      <c r="F229" s="214">
        <v>814.83</v>
      </c>
      <c r="G229" s="214">
        <v>1083.3</v>
      </c>
      <c r="H229" s="215">
        <v>1299.96</v>
      </c>
      <c r="I229" s="216"/>
    </row>
    <row r="230" spans="1:9" hidden="1" x14ac:dyDescent="0.3">
      <c r="A230" s="211" t="s">
        <v>733</v>
      </c>
      <c r="B230" s="211" t="s">
        <v>465</v>
      </c>
      <c r="C230" s="211" t="s">
        <v>692</v>
      </c>
      <c r="D230" s="199"/>
      <c r="E230" s="214" t="s">
        <v>734</v>
      </c>
      <c r="F230" s="214">
        <v>9723.56</v>
      </c>
      <c r="G230" s="214">
        <v>10666.7</v>
      </c>
      <c r="H230" s="215">
        <v>12800.04</v>
      </c>
      <c r="I230" s="216"/>
    </row>
    <row r="231" spans="1:9" hidden="1" x14ac:dyDescent="0.3">
      <c r="A231" s="211" t="s">
        <v>735</v>
      </c>
      <c r="B231" s="211" t="s">
        <v>490</v>
      </c>
      <c r="C231" s="211" t="s">
        <v>692</v>
      </c>
      <c r="D231" s="199"/>
      <c r="E231" s="214" t="s">
        <v>736</v>
      </c>
      <c r="F231" s="214">
        <v>5275.94</v>
      </c>
      <c r="G231" s="214">
        <v>4250</v>
      </c>
      <c r="H231" s="215">
        <v>5100</v>
      </c>
      <c r="I231" s="216"/>
    </row>
    <row r="232" spans="1:9" hidden="1" x14ac:dyDescent="0.3">
      <c r="A232" s="211" t="s">
        <v>737</v>
      </c>
      <c r="B232" s="211" t="s">
        <v>425</v>
      </c>
      <c r="C232" s="211" t="s">
        <v>692</v>
      </c>
      <c r="D232" s="199"/>
      <c r="E232" s="214" t="s">
        <v>738</v>
      </c>
      <c r="F232" s="214">
        <v>0</v>
      </c>
      <c r="G232" s="214">
        <v>2166.6999999999998</v>
      </c>
      <c r="H232" s="215">
        <v>2600.04</v>
      </c>
      <c r="I232" s="216"/>
    </row>
    <row r="233" spans="1:9" hidden="1" x14ac:dyDescent="0.3">
      <c r="A233" s="211" t="s">
        <v>739</v>
      </c>
      <c r="B233" s="211" t="s">
        <v>524</v>
      </c>
      <c r="C233" s="211" t="s">
        <v>677</v>
      </c>
      <c r="D233" s="199"/>
      <c r="E233" s="214" t="s">
        <v>740</v>
      </c>
      <c r="F233" s="214">
        <v>10063.91</v>
      </c>
      <c r="G233" s="214">
        <v>11083.3</v>
      </c>
      <c r="H233" s="215">
        <v>13299.96</v>
      </c>
      <c r="I233" s="216"/>
    </row>
    <row r="234" spans="1:9" hidden="1" x14ac:dyDescent="0.3">
      <c r="A234" s="211" t="s">
        <v>741</v>
      </c>
      <c r="B234" s="211" t="s">
        <v>422</v>
      </c>
      <c r="C234" s="211" t="s">
        <v>677</v>
      </c>
      <c r="D234" s="199"/>
      <c r="E234" s="214" t="s">
        <v>742</v>
      </c>
      <c r="F234" s="214">
        <v>4899.78</v>
      </c>
      <c r="G234" s="214">
        <v>5250</v>
      </c>
      <c r="H234" s="215">
        <v>6300</v>
      </c>
      <c r="I234" s="216"/>
    </row>
    <row r="235" spans="1:9" hidden="1" x14ac:dyDescent="0.3">
      <c r="A235" s="211" t="s">
        <v>743</v>
      </c>
      <c r="B235" s="211" t="s">
        <v>280</v>
      </c>
      <c r="C235" s="211" t="s">
        <v>692</v>
      </c>
      <c r="D235" s="199"/>
      <c r="E235" s="214" t="s">
        <v>744</v>
      </c>
      <c r="F235" s="214">
        <v>12092.66</v>
      </c>
      <c r="G235" s="214">
        <v>16083.3</v>
      </c>
      <c r="H235" s="215">
        <v>19299.96</v>
      </c>
      <c r="I235" s="216"/>
    </row>
    <row r="236" spans="1:9" hidden="1" x14ac:dyDescent="0.3">
      <c r="A236" s="211" t="s">
        <v>745</v>
      </c>
      <c r="B236" s="211" t="s">
        <v>303</v>
      </c>
      <c r="C236" s="211" t="s">
        <v>692</v>
      </c>
      <c r="D236" s="199"/>
      <c r="E236" s="214" t="s">
        <v>746</v>
      </c>
      <c r="F236" s="214">
        <v>2027.57</v>
      </c>
      <c r="G236" s="214">
        <v>2083.3000000000002</v>
      </c>
      <c r="H236" s="215">
        <v>2499.96</v>
      </c>
      <c r="I236" s="216"/>
    </row>
    <row r="237" spans="1:9" hidden="1" x14ac:dyDescent="0.3">
      <c r="A237" s="211" t="s">
        <v>747</v>
      </c>
      <c r="B237" s="211" t="s">
        <v>280</v>
      </c>
      <c r="C237" s="211" t="s">
        <v>692</v>
      </c>
      <c r="D237" s="199"/>
      <c r="E237" s="214" t="s">
        <v>748</v>
      </c>
      <c r="F237" s="214">
        <v>12611.16</v>
      </c>
      <c r="G237" s="214">
        <v>12250</v>
      </c>
      <c r="H237" s="215">
        <v>14700</v>
      </c>
      <c r="I237" s="216"/>
    </row>
    <row r="238" spans="1:9" hidden="1" x14ac:dyDescent="0.3">
      <c r="A238" s="211" t="s">
        <v>749</v>
      </c>
      <c r="B238" s="211" t="s">
        <v>280</v>
      </c>
      <c r="C238" s="211" t="s">
        <v>692</v>
      </c>
      <c r="D238" s="199"/>
      <c r="E238" s="214" t="s">
        <v>750</v>
      </c>
      <c r="F238" s="214">
        <v>2049.39</v>
      </c>
      <c r="G238" s="214">
        <v>2166.6999999999998</v>
      </c>
      <c r="H238" s="215">
        <v>2600.04</v>
      </c>
      <c r="I238" s="216"/>
    </row>
    <row r="239" spans="1:9" hidden="1" x14ac:dyDescent="0.3">
      <c r="A239" s="211" t="s">
        <v>751</v>
      </c>
      <c r="B239" s="211" t="s">
        <v>280</v>
      </c>
      <c r="C239" s="211" t="s">
        <v>692</v>
      </c>
      <c r="D239" s="199"/>
      <c r="E239" s="214" t="s">
        <v>752</v>
      </c>
      <c r="F239" s="214">
        <v>5946.48</v>
      </c>
      <c r="G239" s="214">
        <v>6500</v>
      </c>
      <c r="H239" s="215">
        <v>7800</v>
      </c>
      <c r="I239" s="216"/>
    </row>
    <row r="240" spans="1:9" hidden="1" x14ac:dyDescent="0.3">
      <c r="A240" s="211" t="s">
        <v>753</v>
      </c>
      <c r="B240" s="211" t="s">
        <v>280</v>
      </c>
      <c r="C240" s="211" t="s">
        <v>692</v>
      </c>
      <c r="D240" s="199"/>
      <c r="E240" s="214" t="s">
        <v>754</v>
      </c>
      <c r="F240" s="214">
        <v>26355.35</v>
      </c>
      <c r="G240" s="214">
        <v>27833.3</v>
      </c>
      <c r="H240" s="215">
        <v>33399.96</v>
      </c>
      <c r="I240" s="216"/>
    </row>
    <row r="241" spans="1:9" hidden="1" x14ac:dyDescent="0.3">
      <c r="A241" s="211" t="s">
        <v>755</v>
      </c>
      <c r="B241" s="211" t="s">
        <v>280</v>
      </c>
      <c r="C241" s="211" t="s">
        <v>692</v>
      </c>
      <c r="D241" s="199"/>
      <c r="E241" s="214" t="s">
        <v>756</v>
      </c>
      <c r="F241" s="214">
        <v>22975.49</v>
      </c>
      <c r="G241" s="214">
        <v>24333.3</v>
      </c>
      <c r="H241" s="215">
        <v>29199.96</v>
      </c>
      <c r="I241" s="216"/>
    </row>
    <row r="242" spans="1:9" hidden="1" x14ac:dyDescent="0.3">
      <c r="A242" s="211" t="s">
        <v>757</v>
      </c>
      <c r="B242" s="211" t="s">
        <v>280</v>
      </c>
      <c r="C242" s="211" t="s">
        <v>692</v>
      </c>
      <c r="D242" s="199"/>
      <c r="E242" s="214" t="s">
        <v>758</v>
      </c>
      <c r="F242" s="214">
        <v>25938.799999999999</v>
      </c>
      <c r="G242" s="214">
        <v>26666.7</v>
      </c>
      <c r="H242" s="215">
        <v>32000.04</v>
      </c>
      <c r="I242" s="216"/>
    </row>
    <row r="243" spans="1:9" hidden="1" x14ac:dyDescent="0.3">
      <c r="A243" s="211" t="s">
        <v>759</v>
      </c>
      <c r="B243" s="211" t="s">
        <v>280</v>
      </c>
      <c r="C243" s="211" t="s">
        <v>692</v>
      </c>
      <c r="D243" s="199"/>
      <c r="E243" s="214" t="s">
        <v>760</v>
      </c>
      <c r="F243" s="214">
        <v>3940.72</v>
      </c>
      <c r="G243" s="214">
        <v>5750</v>
      </c>
      <c r="H243" s="215">
        <v>6900</v>
      </c>
      <c r="I243" s="216"/>
    </row>
    <row r="244" spans="1:9" hidden="1" x14ac:dyDescent="0.3">
      <c r="A244" s="211" t="s">
        <v>761</v>
      </c>
      <c r="B244" s="211" t="s">
        <v>283</v>
      </c>
      <c r="C244" s="211" t="s">
        <v>692</v>
      </c>
      <c r="D244" s="199"/>
      <c r="E244" s="214" t="s">
        <v>762</v>
      </c>
      <c r="F244" s="214">
        <v>34910.6</v>
      </c>
      <c r="G244" s="214">
        <v>22000</v>
      </c>
      <c r="H244" s="215">
        <v>26400</v>
      </c>
      <c r="I244" s="216"/>
    </row>
    <row r="245" spans="1:9" hidden="1" x14ac:dyDescent="0.3">
      <c r="A245" s="211" t="s">
        <v>763</v>
      </c>
      <c r="B245" s="211" t="s">
        <v>287</v>
      </c>
      <c r="C245" s="211" t="s">
        <v>692</v>
      </c>
      <c r="D245" s="199"/>
      <c r="E245" s="214" t="s">
        <v>764</v>
      </c>
      <c r="F245" s="214">
        <v>19547.13</v>
      </c>
      <c r="G245" s="214">
        <v>17916.7</v>
      </c>
      <c r="H245" s="215">
        <v>21500.04</v>
      </c>
      <c r="I245" s="216"/>
    </row>
    <row r="246" spans="1:9" hidden="1" x14ac:dyDescent="0.3">
      <c r="A246" s="211" t="s">
        <v>765</v>
      </c>
      <c r="B246" s="211" t="s">
        <v>306</v>
      </c>
      <c r="C246" s="211" t="s">
        <v>692</v>
      </c>
      <c r="D246" s="199"/>
      <c r="E246" s="214" t="s">
        <v>766</v>
      </c>
      <c r="F246" s="214">
        <v>109.99</v>
      </c>
      <c r="G246" s="214">
        <v>0</v>
      </c>
      <c r="H246" s="215">
        <v>0</v>
      </c>
      <c r="I246" s="216"/>
    </row>
    <row r="247" spans="1:9" hidden="1" x14ac:dyDescent="0.3">
      <c r="A247" s="211" t="s">
        <v>767</v>
      </c>
      <c r="B247" s="211" t="s">
        <v>412</v>
      </c>
      <c r="C247" s="211" t="s">
        <v>715</v>
      </c>
      <c r="D247" s="199"/>
      <c r="E247" s="214" t="s">
        <v>768</v>
      </c>
      <c r="F247" s="214">
        <v>19201.990000000002</v>
      </c>
      <c r="G247" s="214">
        <v>8750</v>
      </c>
      <c r="H247" s="215">
        <v>10500</v>
      </c>
      <c r="I247" s="216"/>
    </row>
    <row r="248" spans="1:9" hidden="1" x14ac:dyDescent="0.3">
      <c r="A248" s="211" t="s">
        <v>769</v>
      </c>
      <c r="B248" s="211" t="s">
        <v>412</v>
      </c>
      <c r="C248" s="211" t="s">
        <v>692</v>
      </c>
      <c r="D248" s="199"/>
      <c r="E248" s="214" t="s">
        <v>770</v>
      </c>
      <c r="F248" s="214">
        <v>21898.240000000002</v>
      </c>
      <c r="G248" s="214">
        <v>21750</v>
      </c>
      <c r="H248" s="215">
        <v>26100</v>
      </c>
      <c r="I248" s="216"/>
    </row>
    <row r="249" spans="1:9" hidden="1" x14ac:dyDescent="0.3">
      <c r="A249" s="211" t="s">
        <v>771</v>
      </c>
      <c r="B249" s="211" t="s">
        <v>412</v>
      </c>
      <c r="C249" s="211" t="s">
        <v>692</v>
      </c>
      <c r="D249" s="199"/>
      <c r="E249" s="214" t="s">
        <v>772</v>
      </c>
      <c r="F249" s="214">
        <v>9750.99</v>
      </c>
      <c r="G249" s="214">
        <v>10416.700000000001</v>
      </c>
      <c r="H249" s="215">
        <v>12500.04</v>
      </c>
      <c r="I249" s="216"/>
    </row>
    <row r="250" spans="1:9" hidden="1" x14ac:dyDescent="0.3">
      <c r="A250" s="211" t="s">
        <v>773</v>
      </c>
      <c r="B250" s="211" t="s">
        <v>412</v>
      </c>
      <c r="C250" s="211" t="s">
        <v>692</v>
      </c>
      <c r="D250" s="199"/>
      <c r="E250" s="214" t="s">
        <v>774</v>
      </c>
      <c r="F250" s="214">
        <v>29779.86</v>
      </c>
      <c r="G250" s="214">
        <v>32250</v>
      </c>
      <c r="H250" s="215">
        <v>38700</v>
      </c>
      <c r="I250" s="216"/>
    </row>
    <row r="251" spans="1:9" hidden="1" x14ac:dyDescent="0.3">
      <c r="A251" s="211" t="s">
        <v>775</v>
      </c>
      <c r="B251" s="211" t="s">
        <v>306</v>
      </c>
      <c r="C251" s="211" t="s">
        <v>692</v>
      </c>
      <c r="D251" s="199"/>
      <c r="E251" s="214" t="s">
        <v>776</v>
      </c>
      <c r="F251" s="214">
        <v>733.92</v>
      </c>
      <c r="G251" s="214">
        <v>0</v>
      </c>
      <c r="H251" s="215">
        <v>0</v>
      </c>
      <c r="I251" s="216"/>
    </row>
    <row r="252" spans="1:9" hidden="1" x14ac:dyDescent="0.3">
      <c r="A252" s="211" t="s">
        <v>777</v>
      </c>
      <c r="B252" s="211" t="s">
        <v>558</v>
      </c>
      <c r="C252" s="211" t="s">
        <v>692</v>
      </c>
      <c r="D252" s="199"/>
      <c r="E252" s="214" t="s">
        <v>778</v>
      </c>
      <c r="F252" s="214">
        <v>20735.09</v>
      </c>
      <c r="G252" s="214">
        <v>20916.7</v>
      </c>
      <c r="H252" s="215">
        <v>25100.04</v>
      </c>
      <c r="I252" s="216"/>
    </row>
    <row r="253" spans="1:9" hidden="1" x14ac:dyDescent="0.3">
      <c r="A253" s="211" t="s">
        <v>779</v>
      </c>
      <c r="B253" s="211" t="s">
        <v>561</v>
      </c>
      <c r="C253" s="211" t="s">
        <v>692</v>
      </c>
      <c r="D253" s="199"/>
      <c r="E253" s="214" t="s">
        <v>780</v>
      </c>
      <c r="F253" s="214">
        <v>5362.38</v>
      </c>
      <c r="G253" s="214">
        <v>5833.3</v>
      </c>
      <c r="H253" s="215">
        <v>6999.9600000000009</v>
      </c>
      <c r="I253" s="216"/>
    </row>
    <row r="254" spans="1:9" hidden="1" x14ac:dyDescent="0.3">
      <c r="A254" s="211" t="s">
        <v>781</v>
      </c>
      <c r="B254" s="211" t="s">
        <v>290</v>
      </c>
      <c r="C254" s="211" t="s">
        <v>715</v>
      </c>
      <c r="D254" s="199"/>
      <c r="E254" s="214" t="s">
        <v>782</v>
      </c>
      <c r="F254" s="214">
        <v>4393.22</v>
      </c>
      <c r="G254" s="214">
        <v>4166.7</v>
      </c>
      <c r="H254" s="215">
        <v>5000.0399999999991</v>
      </c>
      <c r="I254" s="216"/>
    </row>
    <row r="255" spans="1:9" hidden="1" x14ac:dyDescent="0.3">
      <c r="A255" s="211" t="s">
        <v>783</v>
      </c>
      <c r="B255" s="211" t="s">
        <v>412</v>
      </c>
      <c r="C255" s="211" t="s">
        <v>677</v>
      </c>
      <c r="D255" s="199"/>
      <c r="E255" s="214" t="s">
        <v>784</v>
      </c>
      <c r="F255" s="214">
        <v>6530.9</v>
      </c>
      <c r="G255" s="214">
        <v>0</v>
      </c>
      <c r="H255" s="215">
        <v>0</v>
      </c>
      <c r="I255" s="216"/>
    </row>
    <row r="256" spans="1:9" hidden="1" x14ac:dyDescent="0.3">
      <c r="A256" s="211" t="s">
        <v>785</v>
      </c>
      <c r="B256" s="211" t="s">
        <v>293</v>
      </c>
      <c r="C256" s="211" t="s">
        <v>677</v>
      </c>
      <c r="D256" s="199"/>
      <c r="E256" s="214" t="s">
        <v>786</v>
      </c>
      <c r="F256" s="214">
        <v>4131.78</v>
      </c>
      <c r="G256" s="214">
        <v>4666.7</v>
      </c>
      <c r="H256" s="215">
        <v>5600.0399999999991</v>
      </c>
      <c r="I256" s="216"/>
    </row>
    <row r="257" spans="1:9" hidden="1" x14ac:dyDescent="0.3">
      <c r="A257" s="211" t="s">
        <v>787</v>
      </c>
      <c r="B257" s="211" t="s">
        <v>422</v>
      </c>
      <c r="C257" s="211" t="s">
        <v>788</v>
      </c>
      <c r="D257" s="199"/>
      <c r="E257" s="214" t="s">
        <v>789</v>
      </c>
      <c r="F257" s="214">
        <v>5217.12</v>
      </c>
      <c r="G257" s="214">
        <v>5333.3</v>
      </c>
      <c r="H257" s="215">
        <v>6399.9600000000009</v>
      </c>
      <c r="I257" s="216"/>
    </row>
    <row r="258" spans="1:9" hidden="1" x14ac:dyDescent="0.3">
      <c r="A258" s="211" t="s">
        <v>790</v>
      </c>
      <c r="B258" s="211" t="s">
        <v>454</v>
      </c>
      <c r="C258" s="211" t="s">
        <v>788</v>
      </c>
      <c r="D258" s="199"/>
      <c r="E258" s="214" t="s">
        <v>791</v>
      </c>
      <c r="F258" s="214">
        <v>3821.35</v>
      </c>
      <c r="G258" s="214">
        <v>3250</v>
      </c>
      <c r="H258" s="215">
        <v>3900</v>
      </c>
      <c r="I258" s="216"/>
    </row>
    <row r="259" spans="1:9" hidden="1" x14ac:dyDescent="0.3">
      <c r="A259" s="211" t="s">
        <v>792</v>
      </c>
      <c r="B259" s="211" t="s">
        <v>457</v>
      </c>
      <c r="C259" s="211" t="s">
        <v>788</v>
      </c>
      <c r="D259" s="199"/>
      <c r="E259" s="214" t="s">
        <v>793</v>
      </c>
      <c r="F259" s="214">
        <v>3770.95</v>
      </c>
      <c r="G259" s="214">
        <v>3916.7</v>
      </c>
      <c r="H259" s="215">
        <v>4700.0399999999991</v>
      </c>
      <c r="I259" s="216"/>
    </row>
    <row r="260" spans="1:9" hidden="1" x14ac:dyDescent="0.3">
      <c r="A260" s="211" t="s">
        <v>794</v>
      </c>
      <c r="B260" s="211" t="s">
        <v>460</v>
      </c>
      <c r="C260" s="211" t="s">
        <v>788</v>
      </c>
      <c r="D260" s="199"/>
      <c r="E260" s="214" t="s">
        <v>795</v>
      </c>
      <c r="F260" s="214">
        <v>2659.29</v>
      </c>
      <c r="G260" s="214">
        <v>2666.7</v>
      </c>
      <c r="H260" s="215">
        <v>3200.0399999999995</v>
      </c>
      <c r="I260" s="216"/>
    </row>
    <row r="261" spans="1:9" hidden="1" x14ac:dyDescent="0.3">
      <c r="A261" s="211" t="s">
        <v>796</v>
      </c>
      <c r="B261" s="211" t="s">
        <v>402</v>
      </c>
      <c r="C261" s="211" t="s">
        <v>788</v>
      </c>
      <c r="D261" s="199"/>
      <c r="E261" s="214" t="s">
        <v>797</v>
      </c>
      <c r="F261" s="214">
        <v>1253.48</v>
      </c>
      <c r="G261" s="214">
        <v>833.3</v>
      </c>
      <c r="H261" s="215">
        <v>999.96</v>
      </c>
      <c r="I261" s="216"/>
    </row>
    <row r="262" spans="1:9" hidden="1" x14ac:dyDescent="0.3">
      <c r="A262" s="211" t="s">
        <v>798</v>
      </c>
      <c r="B262" s="211" t="s">
        <v>465</v>
      </c>
      <c r="C262" s="211" t="s">
        <v>799</v>
      </c>
      <c r="D262" s="199"/>
      <c r="E262" s="214" t="s">
        <v>800</v>
      </c>
      <c r="F262" s="214">
        <v>1440.84</v>
      </c>
      <c r="G262" s="214">
        <v>0</v>
      </c>
      <c r="H262" s="215">
        <v>0</v>
      </c>
      <c r="I262" s="216"/>
    </row>
    <row r="263" spans="1:9" hidden="1" x14ac:dyDescent="0.3">
      <c r="A263" s="211" t="s">
        <v>801</v>
      </c>
      <c r="B263" s="211" t="s">
        <v>468</v>
      </c>
      <c r="C263" s="211" t="s">
        <v>788</v>
      </c>
      <c r="D263" s="199"/>
      <c r="E263" s="214" t="s">
        <v>802</v>
      </c>
      <c r="F263" s="214">
        <v>1476.21</v>
      </c>
      <c r="G263" s="214">
        <v>1583.3</v>
      </c>
      <c r="H263" s="215">
        <v>1899.9599999999998</v>
      </c>
      <c r="I263" s="216"/>
    </row>
    <row r="264" spans="1:9" hidden="1" x14ac:dyDescent="0.3">
      <c r="A264" s="211" t="s">
        <v>803</v>
      </c>
      <c r="B264" s="211" t="s">
        <v>465</v>
      </c>
      <c r="C264" s="211" t="s">
        <v>804</v>
      </c>
      <c r="D264" s="199"/>
      <c r="E264" s="214" t="s">
        <v>805</v>
      </c>
      <c r="F264" s="214">
        <v>27774.36</v>
      </c>
      <c r="G264" s="214">
        <v>29083.3</v>
      </c>
      <c r="H264" s="215">
        <v>34899.96</v>
      </c>
      <c r="I264" s="216"/>
    </row>
    <row r="265" spans="1:9" hidden="1" x14ac:dyDescent="0.3">
      <c r="A265" s="211" t="s">
        <v>806</v>
      </c>
      <c r="B265" s="211" t="s">
        <v>473</v>
      </c>
      <c r="C265" s="211" t="s">
        <v>804</v>
      </c>
      <c r="D265" s="199"/>
      <c r="E265" s="214" t="s">
        <v>807</v>
      </c>
      <c r="F265" s="214">
        <v>198.09</v>
      </c>
      <c r="G265" s="214">
        <v>0</v>
      </c>
      <c r="H265" s="215">
        <v>0</v>
      </c>
      <c r="I265" s="216"/>
    </row>
    <row r="266" spans="1:9" hidden="1" x14ac:dyDescent="0.3">
      <c r="A266" s="211" t="s">
        <v>808</v>
      </c>
      <c r="B266" s="211" t="s">
        <v>473</v>
      </c>
      <c r="C266" s="211" t="s">
        <v>804</v>
      </c>
      <c r="D266" s="199"/>
      <c r="E266" s="214" t="s">
        <v>809</v>
      </c>
      <c r="F266" s="214">
        <v>5634.97</v>
      </c>
      <c r="G266" s="214">
        <v>6000</v>
      </c>
      <c r="H266" s="215">
        <v>7200</v>
      </c>
      <c r="I266" s="216"/>
    </row>
    <row r="267" spans="1:9" hidden="1" x14ac:dyDescent="0.3">
      <c r="A267" s="211" t="s">
        <v>810</v>
      </c>
      <c r="B267" s="211" t="s">
        <v>247</v>
      </c>
      <c r="C267" s="211" t="s">
        <v>804</v>
      </c>
      <c r="D267" s="199"/>
      <c r="E267" s="214" t="s">
        <v>811</v>
      </c>
      <c r="F267" s="214">
        <v>1496.01</v>
      </c>
      <c r="G267" s="214">
        <v>1416.7</v>
      </c>
      <c r="H267" s="215">
        <v>1700.0400000000002</v>
      </c>
      <c r="I267" s="216"/>
    </row>
    <row r="268" spans="1:9" hidden="1" x14ac:dyDescent="0.3">
      <c r="A268" s="211" t="s">
        <v>812</v>
      </c>
      <c r="B268" s="211" t="s">
        <v>480</v>
      </c>
      <c r="C268" s="211" t="s">
        <v>804</v>
      </c>
      <c r="D268" s="199"/>
      <c r="E268" s="214" t="s">
        <v>813</v>
      </c>
      <c r="F268" s="214">
        <v>4688.6099999999997</v>
      </c>
      <c r="G268" s="214">
        <v>4500</v>
      </c>
      <c r="H268" s="215">
        <v>5400</v>
      </c>
      <c r="I268" s="216"/>
    </row>
    <row r="269" spans="1:9" hidden="1" x14ac:dyDescent="0.3">
      <c r="A269" s="211" t="s">
        <v>814</v>
      </c>
      <c r="B269" s="211" t="s">
        <v>422</v>
      </c>
      <c r="C269" s="211" t="s">
        <v>788</v>
      </c>
      <c r="D269" s="199"/>
      <c r="E269" s="214" t="s">
        <v>815</v>
      </c>
      <c r="F269" s="214">
        <v>2432.38</v>
      </c>
      <c r="G269" s="214">
        <v>2000</v>
      </c>
      <c r="H269" s="215">
        <v>2400</v>
      </c>
      <c r="I269" s="216"/>
    </row>
    <row r="270" spans="1:9" hidden="1" x14ac:dyDescent="0.3">
      <c r="A270" s="211" t="s">
        <v>816</v>
      </c>
      <c r="B270" s="211" t="s">
        <v>485</v>
      </c>
      <c r="C270" s="211" t="s">
        <v>804</v>
      </c>
      <c r="D270" s="199"/>
      <c r="E270" s="214" t="s">
        <v>817</v>
      </c>
      <c r="F270" s="214">
        <v>2018.49</v>
      </c>
      <c r="G270" s="214">
        <v>1916.7</v>
      </c>
      <c r="H270" s="215">
        <v>2300.04</v>
      </c>
      <c r="I270" s="216"/>
    </row>
    <row r="271" spans="1:9" hidden="1" x14ac:dyDescent="0.3">
      <c r="A271" s="211" t="s">
        <v>818</v>
      </c>
      <c r="B271" s="211" t="s">
        <v>465</v>
      </c>
      <c r="C271" s="211" t="s">
        <v>804</v>
      </c>
      <c r="D271" s="199"/>
      <c r="E271" s="214" t="s">
        <v>819</v>
      </c>
      <c r="F271" s="214">
        <v>4310.57</v>
      </c>
      <c r="G271" s="214">
        <v>4750</v>
      </c>
      <c r="H271" s="215">
        <v>5700</v>
      </c>
      <c r="I271" s="216"/>
    </row>
    <row r="272" spans="1:9" hidden="1" x14ac:dyDescent="0.3">
      <c r="A272" s="211" t="s">
        <v>820</v>
      </c>
      <c r="B272" s="211" t="s">
        <v>490</v>
      </c>
      <c r="C272" s="211" t="s">
        <v>804</v>
      </c>
      <c r="D272" s="199"/>
      <c r="E272" s="214" t="s">
        <v>821</v>
      </c>
      <c r="F272" s="214">
        <v>1525.15</v>
      </c>
      <c r="G272" s="214">
        <v>1000</v>
      </c>
      <c r="H272" s="215">
        <v>1200</v>
      </c>
      <c r="I272" s="216"/>
    </row>
    <row r="273" spans="1:9" hidden="1" x14ac:dyDescent="0.3">
      <c r="A273" s="211" t="s">
        <v>822</v>
      </c>
      <c r="B273" s="211" t="s">
        <v>280</v>
      </c>
      <c r="C273" s="211" t="s">
        <v>804</v>
      </c>
      <c r="D273" s="199"/>
      <c r="E273" s="214" t="s">
        <v>823</v>
      </c>
      <c r="F273" s="214">
        <v>775.42</v>
      </c>
      <c r="G273" s="214">
        <v>750</v>
      </c>
      <c r="H273" s="215">
        <v>900</v>
      </c>
      <c r="I273" s="216"/>
    </row>
    <row r="274" spans="1:9" hidden="1" x14ac:dyDescent="0.3">
      <c r="A274" s="211" t="s">
        <v>824</v>
      </c>
      <c r="B274" s="211" t="s">
        <v>412</v>
      </c>
      <c r="C274" s="211" t="s">
        <v>804</v>
      </c>
      <c r="D274" s="199"/>
      <c r="E274" s="214" t="s">
        <v>825</v>
      </c>
      <c r="F274" s="214">
        <v>3776.57</v>
      </c>
      <c r="G274" s="214">
        <v>3750</v>
      </c>
      <c r="H274" s="215">
        <v>4500</v>
      </c>
      <c r="I274" s="216"/>
    </row>
    <row r="275" spans="1:9" hidden="1" x14ac:dyDescent="0.3">
      <c r="A275" s="211" t="s">
        <v>826</v>
      </c>
      <c r="B275" s="211" t="s">
        <v>497</v>
      </c>
      <c r="C275" s="211" t="s">
        <v>827</v>
      </c>
      <c r="D275" s="199"/>
      <c r="E275" s="214" t="s">
        <v>828</v>
      </c>
      <c r="F275" s="214">
        <v>1510.51</v>
      </c>
      <c r="G275" s="214">
        <v>1583.3</v>
      </c>
      <c r="H275" s="215">
        <v>1899.9599999999998</v>
      </c>
      <c r="I275" s="216"/>
    </row>
    <row r="276" spans="1:9" hidden="1" x14ac:dyDescent="0.3">
      <c r="A276" s="211" t="s">
        <v>829</v>
      </c>
      <c r="B276" s="211" t="s">
        <v>251</v>
      </c>
      <c r="C276" s="211" t="s">
        <v>804</v>
      </c>
      <c r="D276" s="199"/>
      <c r="E276" s="214" t="s">
        <v>830</v>
      </c>
      <c r="F276" s="214">
        <v>10727.1</v>
      </c>
      <c r="G276" s="214">
        <v>9833.2999999999993</v>
      </c>
      <c r="H276" s="215">
        <v>11799.96</v>
      </c>
      <c r="I276" s="216"/>
    </row>
    <row r="277" spans="1:9" hidden="1" x14ac:dyDescent="0.3">
      <c r="A277" s="211" t="s">
        <v>831</v>
      </c>
      <c r="B277" s="211" t="s">
        <v>257</v>
      </c>
      <c r="C277" s="211" t="s">
        <v>804</v>
      </c>
      <c r="D277" s="199"/>
      <c r="E277" s="214" t="s">
        <v>832</v>
      </c>
      <c r="F277" s="214">
        <v>3050.06</v>
      </c>
      <c r="G277" s="214">
        <v>0</v>
      </c>
      <c r="H277" s="215">
        <v>0</v>
      </c>
      <c r="I277" s="216"/>
    </row>
    <row r="278" spans="1:9" hidden="1" x14ac:dyDescent="0.3">
      <c r="A278" s="211" t="s">
        <v>833</v>
      </c>
      <c r="B278" s="211" t="s">
        <v>490</v>
      </c>
      <c r="C278" s="211" t="s">
        <v>804</v>
      </c>
      <c r="D278" s="199"/>
      <c r="E278" s="214" t="s">
        <v>834</v>
      </c>
      <c r="F278" s="214">
        <v>6509.18</v>
      </c>
      <c r="G278" s="214">
        <v>6916.7</v>
      </c>
      <c r="H278" s="215">
        <v>8300.0399999999991</v>
      </c>
      <c r="I278" s="216"/>
    </row>
    <row r="279" spans="1:9" hidden="1" x14ac:dyDescent="0.3">
      <c r="A279" s="211" t="s">
        <v>835</v>
      </c>
      <c r="B279" s="211" t="s">
        <v>508</v>
      </c>
      <c r="C279" s="211" t="s">
        <v>804</v>
      </c>
      <c r="D279" s="199"/>
      <c r="E279" s="214" t="s">
        <v>836</v>
      </c>
      <c r="F279" s="214">
        <v>787.35</v>
      </c>
      <c r="G279" s="214">
        <v>833.3</v>
      </c>
      <c r="H279" s="215">
        <v>999.96</v>
      </c>
      <c r="I279" s="216"/>
    </row>
    <row r="280" spans="1:9" hidden="1" x14ac:dyDescent="0.3">
      <c r="A280" s="211" t="s">
        <v>837</v>
      </c>
      <c r="B280" s="211" t="s">
        <v>511</v>
      </c>
      <c r="C280" s="211" t="s">
        <v>804</v>
      </c>
      <c r="D280" s="199"/>
      <c r="E280" s="214" t="s">
        <v>838</v>
      </c>
      <c r="F280" s="214">
        <v>3513.42</v>
      </c>
      <c r="G280" s="214">
        <v>3250</v>
      </c>
      <c r="H280" s="215">
        <v>3900</v>
      </c>
      <c r="I280" s="216"/>
    </row>
    <row r="281" spans="1:9" hidden="1" x14ac:dyDescent="0.3">
      <c r="A281" s="211" t="s">
        <v>839</v>
      </c>
      <c r="B281" s="211" t="s">
        <v>425</v>
      </c>
      <c r="C281" s="211" t="s">
        <v>788</v>
      </c>
      <c r="D281" s="199"/>
      <c r="E281" s="214" t="s">
        <v>840</v>
      </c>
      <c r="F281" s="214">
        <v>806.25</v>
      </c>
      <c r="G281" s="214">
        <v>0</v>
      </c>
      <c r="H281" s="215">
        <v>0</v>
      </c>
      <c r="I281" s="216"/>
    </row>
    <row r="282" spans="1:9" hidden="1" x14ac:dyDescent="0.3">
      <c r="A282" s="211" t="s">
        <v>841</v>
      </c>
      <c r="B282" s="211" t="s">
        <v>422</v>
      </c>
      <c r="C282" s="211" t="s">
        <v>788</v>
      </c>
      <c r="D282" s="199"/>
      <c r="E282" s="214" t="s">
        <v>842</v>
      </c>
      <c r="F282" s="214">
        <v>629.04999999999995</v>
      </c>
      <c r="G282" s="214">
        <v>833.3</v>
      </c>
      <c r="H282" s="215">
        <v>999.96</v>
      </c>
      <c r="I282" s="216"/>
    </row>
    <row r="283" spans="1:9" hidden="1" x14ac:dyDescent="0.3">
      <c r="A283" s="211" t="s">
        <v>843</v>
      </c>
      <c r="B283" s="211" t="s">
        <v>300</v>
      </c>
      <c r="C283" s="211" t="s">
        <v>788</v>
      </c>
      <c r="D283" s="199"/>
      <c r="E283" s="214" t="s">
        <v>844</v>
      </c>
      <c r="F283" s="214">
        <v>414.5</v>
      </c>
      <c r="G283" s="214">
        <v>416.7</v>
      </c>
      <c r="H283" s="215">
        <v>500.04</v>
      </c>
      <c r="I283" s="216"/>
    </row>
    <row r="284" spans="1:9" hidden="1" x14ac:dyDescent="0.3">
      <c r="A284" s="211" t="s">
        <v>845</v>
      </c>
      <c r="B284" s="211" t="s">
        <v>465</v>
      </c>
      <c r="C284" s="211" t="s">
        <v>804</v>
      </c>
      <c r="D284" s="199"/>
      <c r="E284" s="214" t="s">
        <v>846</v>
      </c>
      <c r="F284" s="214">
        <v>3865.75</v>
      </c>
      <c r="G284" s="214">
        <v>4000</v>
      </c>
      <c r="H284" s="215">
        <v>4800</v>
      </c>
      <c r="I284" s="216"/>
    </row>
    <row r="285" spans="1:9" hidden="1" x14ac:dyDescent="0.3">
      <c r="A285" s="211" t="s">
        <v>847</v>
      </c>
      <c r="B285" s="211" t="s">
        <v>490</v>
      </c>
      <c r="C285" s="211" t="s">
        <v>804</v>
      </c>
      <c r="D285" s="199"/>
      <c r="E285" s="214" t="s">
        <v>848</v>
      </c>
      <c r="F285" s="214">
        <v>2307.73</v>
      </c>
      <c r="G285" s="214">
        <v>1583.3</v>
      </c>
      <c r="H285" s="215">
        <v>1899.9599999999998</v>
      </c>
      <c r="I285" s="216"/>
    </row>
    <row r="286" spans="1:9" hidden="1" x14ac:dyDescent="0.3">
      <c r="A286" s="211" t="s">
        <v>849</v>
      </c>
      <c r="B286" s="211" t="s">
        <v>425</v>
      </c>
      <c r="C286" s="211" t="s">
        <v>804</v>
      </c>
      <c r="D286" s="199"/>
      <c r="E286" s="214" t="s">
        <v>850</v>
      </c>
      <c r="F286" s="214">
        <v>0</v>
      </c>
      <c r="G286" s="214">
        <v>833.3</v>
      </c>
      <c r="H286" s="215">
        <v>999.96</v>
      </c>
      <c r="I286" s="216"/>
    </row>
    <row r="287" spans="1:9" hidden="1" x14ac:dyDescent="0.3">
      <c r="A287" s="211" t="s">
        <v>851</v>
      </c>
      <c r="B287" s="211" t="s">
        <v>524</v>
      </c>
      <c r="C287" s="211" t="s">
        <v>788</v>
      </c>
      <c r="D287" s="199"/>
      <c r="E287" s="214" t="s">
        <v>852</v>
      </c>
      <c r="F287" s="214">
        <v>3760.28</v>
      </c>
      <c r="G287" s="214">
        <v>4083.3</v>
      </c>
      <c r="H287" s="215">
        <v>4899.9600000000009</v>
      </c>
      <c r="I287" s="216"/>
    </row>
    <row r="288" spans="1:9" hidden="1" x14ac:dyDescent="0.3">
      <c r="A288" s="211" t="s">
        <v>853</v>
      </c>
      <c r="B288" s="211" t="s">
        <v>422</v>
      </c>
      <c r="C288" s="211" t="s">
        <v>788</v>
      </c>
      <c r="D288" s="199"/>
      <c r="E288" s="214" t="s">
        <v>854</v>
      </c>
      <c r="F288" s="214">
        <v>1863.16</v>
      </c>
      <c r="G288" s="214">
        <v>1916.7</v>
      </c>
      <c r="H288" s="215">
        <v>2300.04</v>
      </c>
      <c r="I288" s="216"/>
    </row>
    <row r="289" spans="1:9" hidden="1" x14ac:dyDescent="0.3">
      <c r="A289" s="211" t="s">
        <v>855</v>
      </c>
      <c r="B289" s="211" t="s">
        <v>280</v>
      </c>
      <c r="C289" s="211" t="s">
        <v>804</v>
      </c>
      <c r="D289" s="199"/>
      <c r="E289" s="214" t="s">
        <v>856</v>
      </c>
      <c r="F289" s="214">
        <v>5104.9799999999996</v>
      </c>
      <c r="G289" s="214">
        <v>6083.3</v>
      </c>
      <c r="H289" s="215">
        <v>7299.9600000000009</v>
      </c>
      <c r="I289" s="216"/>
    </row>
    <row r="290" spans="1:9" hidden="1" x14ac:dyDescent="0.3">
      <c r="A290" s="211" t="s">
        <v>857</v>
      </c>
      <c r="B290" s="211" t="s">
        <v>303</v>
      </c>
      <c r="C290" s="211" t="s">
        <v>804</v>
      </c>
      <c r="D290" s="199"/>
      <c r="E290" s="214" t="s">
        <v>858</v>
      </c>
      <c r="F290" s="214">
        <v>961.81</v>
      </c>
      <c r="G290" s="214">
        <v>750</v>
      </c>
      <c r="H290" s="215">
        <v>900</v>
      </c>
      <c r="I290" s="216"/>
    </row>
    <row r="291" spans="1:9" hidden="1" x14ac:dyDescent="0.3">
      <c r="A291" s="211" t="s">
        <v>859</v>
      </c>
      <c r="B291" s="211" t="s">
        <v>280</v>
      </c>
      <c r="C291" s="211" t="s">
        <v>804</v>
      </c>
      <c r="D291" s="199"/>
      <c r="E291" s="214" t="s">
        <v>860</v>
      </c>
      <c r="F291" s="214">
        <v>5678.18</v>
      </c>
      <c r="G291" s="214">
        <v>4583.3</v>
      </c>
      <c r="H291" s="215">
        <v>5499.9600000000009</v>
      </c>
      <c r="I291" s="216"/>
    </row>
    <row r="292" spans="1:9" hidden="1" x14ac:dyDescent="0.3">
      <c r="A292" s="211" t="s">
        <v>861</v>
      </c>
      <c r="B292" s="211" t="s">
        <v>280</v>
      </c>
      <c r="C292" s="211" t="s">
        <v>804</v>
      </c>
      <c r="D292" s="199"/>
      <c r="E292" s="214" t="s">
        <v>862</v>
      </c>
      <c r="F292" s="214">
        <v>815.32</v>
      </c>
      <c r="G292" s="214">
        <v>833.3</v>
      </c>
      <c r="H292" s="215">
        <v>999.96</v>
      </c>
      <c r="I292" s="216"/>
    </row>
    <row r="293" spans="1:9" hidden="1" x14ac:dyDescent="0.3">
      <c r="A293" s="211" t="s">
        <v>863</v>
      </c>
      <c r="B293" s="211" t="s">
        <v>280</v>
      </c>
      <c r="C293" s="211" t="s">
        <v>804</v>
      </c>
      <c r="D293" s="199"/>
      <c r="E293" s="214" t="s">
        <v>864</v>
      </c>
      <c r="F293" s="214">
        <v>2688.68</v>
      </c>
      <c r="G293" s="214">
        <v>2416.6999999999998</v>
      </c>
      <c r="H293" s="215">
        <v>2900.04</v>
      </c>
      <c r="I293" s="216"/>
    </row>
    <row r="294" spans="1:9" hidden="1" x14ac:dyDescent="0.3">
      <c r="A294" s="211" t="s">
        <v>865</v>
      </c>
      <c r="B294" s="211" t="s">
        <v>280</v>
      </c>
      <c r="C294" s="211" t="s">
        <v>804</v>
      </c>
      <c r="D294" s="199"/>
      <c r="E294" s="214" t="s">
        <v>866</v>
      </c>
      <c r="F294" s="214">
        <v>11053.52</v>
      </c>
      <c r="G294" s="214">
        <v>10416.700000000001</v>
      </c>
      <c r="H294" s="215">
        <v>12500.04</v>
      </c>
      <c r="I294" s="216"/>
    </row>
    <row r="295" spans="1:9" hidden="1" x14ac:dyDescent="0.3">
      <c r="A295" s="211" t="s">
        <v>867</v>
      </c>
      <c r="B295" s="211" t="s">
        <v>280</v>
      </c>
      <c r="C295" s="211" t="s">
        <v>804</v>
      </c>
      <c r="D295" s="199"/>
      <c r="E295" s="214" t="s">
        <v>868</v>
      </c>
      <c r="F295" s="214">
        <v>9375.2800000000007</v>
      </c>
      <c r="G295" s="214">
        <v>9083.2999999999993</v>
      </c>
      <c r="H295" s="215">
        <v>10899.96</v>
      </c>
      <c r="I295" s="216"/>
    </row>
    <row r="296" spans="1:9" hidden="1" x14ac:dyDescent="0.3">
      <c r="A296" s="211" t="s">
        <v>869</v>
      </c>
      <c r="B296" s="211" t="s">
        <v>280</v>
      </c>
      <c r="C296" s="211" t="s">
        <v>804</v>
      </c>
      <c r="D296" s="199"/>
      <c r="E296" s="214" t="s">
        <v>870</v>
      </c>
      <c r="F296" s="214">
        <v>11490.95</v>
      </c>
      <c r="G296" s="214">
        <v>9916.7000000000007</v>
      </c>
      <c r="H296" s="215">
        <v>11900.04</v>
      </c>
      <c r="I296" s="216"/>
    </row>
    <row r="297" spans="1:9" hidden="1" x14ac:dyDescent="0.3">
      <c r="A297" s="211" t="s">
        <v>871</v>
      </c>
      <c r="B297" s="211" t="s">
        <v>280</v>
      </c>
      <c r="C297" s="211" t="s">
        <v>804</v>
      </c>
      <c r="D297" s="199"/>
      <c r="E297" s="214" t="s">
        <v>872</v>
      </c>
      <c r="F297" s="214">
        <v>1468.49</v>
      </c>
      <c r="G297" s="214">
        <v>2166.6999999999998</v>
      </c>
      <c r="H297" s="215">
        <v>2600.04</v>
      </c>
      <c r="I297" s="216"/>
    </row>
    <row r="298" spans="1:9" hidden="1" x14ac:dyDescent="0.3">
      <c r="A298" s="211" t="s">
        <v>873</v>
      </c>
      <c r="B298" s="211" t="s">
        <v>283</v>
      </c>
      <c r="C298" s="211" t="s">
        <v>804</v>
      </c>
      <c r="D298" s="199"/>
      <c r="E298" s="214" t="s">
        <v>874</v>
      </c>
      <c r="F298" s="214">
        <v>8755.34</v>
      </c>
      <c r="G298" s="214">
        <v>8250</v>
      </c>
      <c r="H298" s="215">
        <v>9900</v>
      </c>
      <c r="I298" s="216"/>
    </row>
    <row r="299" spans="1:9" hidden="1" x14ac:dyDescent="0.3">
      <c r="A299" s="211" t="s">
        <v>875</v>
      </c>
      <c r="B299" s="211" t="s">
        <v>287</v>
      </c>
      <c r="C299" s="211" t="s">
        <v>804</v>
      </c>
      <c r="D299" s="199"/>
      <c r="E299" s="214" t="s">
        <v>876</v>
      </c>
      <c r="F299" s="214">
        <v>8146.74</v>
      </c>
      <c r="G299" s="214">
        <v>6750</v>
      </c>
      <c r="H299" s="215">
        <v>8100</v>
      </c>
      <c r="I299" s="216"/>
    </row>
    <row r="300" spans="1:9" hidden="1" x14ac:dyDescent="0.3">
      <c r="A300" s="211" t="s">
        <v>877</v>
      </c>
      <c r="B300" s="211" t="s">
        <v>306</v>
      </c>
      <c r="C300" s="211" t="s">
        <v>804</v>
      </c>
      <c r="D300" s="199"/>
      <c r="E300" s="214" t="s">
        <v>878</v>
      </c>
      <c r="F300" s="214">
        <v>74.75</v>
      </c>
      <c r="G300" s="214">
        <v>0</v>
      </c>
      <c r="H300" s="215">
        <v>0</v>
      </c>
      <c r="I300" s="216"/>
    </row>
    <row r="301" spans="1:9" hidden="1" x14ac:dyDescent="0.3">
      <c r="A301" s="211" t="s">
        <v>879</v>
      </c>
      <c r="B301" s="211" t="s">
        <v>412</v>
      </c>
      <c r="C301" s="211" t="s">
        <v>827</v>
      </c>
      <c r="D301" s="199"/>
      <c r="E301" s="214" t="s">
        <v>880</v>
      </c>
      <c r="F301" s="214">
        <v>3168.19</v>
      </c>
      <c r="G301" s="214">
        <v>3250</v>
      </c>
      <c r="H301" s="215">
        <v>3900</v>
      </c>
      <c r="I301" s="216"/>
    </row>
    <row r="302" spans="1:9" hidden="1" x14ac:dyDescent="0.3">
      <c r="A302" s="211" t="s">
        <v>881</v>
      </c>
      <c r="B302" s="211" t="s">
        <v>412</v>
      </c>
      <c r="C302" s="211" t="s">
        <v>804</v>
      </c>
      <c r="D302" s="199"/>
      <c r="E302" s="214" t="s">
        <v>882</v>
      </c>
      <c r="F302" s="214">
        <v>9665.01</v>
      </c>
      <c r="G302" s="214">
        <v>8166.7</v>
      </c>
      <c r="H302" s="215">
        <v>9800.0399999999991</v>
      </c>
      <c r="I302" s="216"/>
    </row>
    <row r="303" spans="1:9" hidden="1" x14ac:dyDescent="0.3">
      <c r="A303" s="211" t="s">
        <v>883</v>
      </c>
      <c r="B303" s="211" t="s">
        <v>412</v>
      </c>
      <c r="C303" s="211" t="s">
        <v>804</v>
      </c>
      <c r="D303" s="199"/>
      <c r="E303" s="214" t="s">
        <v>884</v>
      </c>
      <c r="F303" s="214">
        <v>4406.96</v>
      </c>
      <c r="G303" s="214">
        <v>3916.7</v>
      </c>
      <c r="H303" s="215">
        <v>4700.0399999999991</v>
      </c>
      <c r="I303" s="216"/>
    </row>
    <row r="304" spans="1:9" hidden="1" x14ac:dyDescent="0.3">
      <c r="A304" s="211" t="s">
        <v>885</v>
      </c>
      <c r="B304" s="211" t="s">
        <v>412</v>
      </c>
      <c r="C304" s="211" t="s">
        <v>804</v>
      </c>
      <c r="D304" s="199"/>
      <c r="E304" s="214" t="s">
        <v>886</v>
      </c>
      <c r="F304" s="214">
        <v>12979.33</v>
      </c>
      <c r="G304" s="214">
        <v>11916.7</v>
      </c>
      <c r="H304" s="215">
        <v>14300.04</v>
      </c>
      <c r="I304" s="216"/>
    </row>
    <row r="305" spans="1:9" hidden="1" x14ac:dyDescent="0.3">
      <c r="A305" s="211" t="s">
        <v>887</v>
      </c>
      <c r="B305" s="211" t="s">
        <v>306</v>
      </c>
      <c r="C305" s="211" t="s">
        <v>804</v>
      </c>
      <c r="D305" s="199"/>
      <c r="E305" s="214" t="s">
        <v>888</v>
      </c>
      <c r="F305" s="214">
        <v>409.59</v>
      </c>
      <c r="G305" s="214">
        <v>0</v>
      </c>
      <c r="H305" s="215">
        <v>0</v>
      </c>
      <c r="I305" s="216"/>
    </row>
    <row r="306" spans="1:9" hidden="1" x14ac:dyDescent="0.3">
      <c r="A306" s="211" t="s">
        <v>889</v>
      </c>
      <c r="B306" s="211" t="s">
        <v>558</v>
      </c>
      <c r="C306" s="211" t="s">
        <v>804</v>
      </c>
      <c r="D306" s="199"/>
      <c r="E306" s="214" t="s">
        <v>890</v>
      </c>
      <c r="F306" s="214">
        <v>9486.7800000000007</v>
      </c>
      <c r="G306" s="214">
        <v>7833.3</v>
      </c>
      <c r="H306" s="215">
        <v>9399.9600000000009</v>
      </c>
      <c r="I306" s="216"/>
    </row>
    <row r="307" spans="1:9" hidden="1" x14ac:dyDescent="0.3">
      <c r="A307" s="211" t="s">
        <v>891</v>
      </c>
      <c r="B307" s="211" t="s">
        <v>561</v>
      </c>
      <c r="C307" s="211" t="s">
        <v>804</v>
      </c>
      <c r="D307" s="199"/>
      <c r="E307" s="214" t="s">
        <v>892</v>
      </c>
      <c r="F307" s="214">
        <v>2036.48</v>
      </c>
      <c r="G307" s="214">
        <v>2166.6999999999998</v>
      </c>
      <c r="H307" s="215">
        <v>2600.04</v>
      </c>
      <c r="I307" s="216"/>
    </row>
    <row r="308" spans="1:9" hidden="1" x14ac:dyDescent="0.3">
      <c r="A308" s="211" t="s">
        <v>893</v>
      </c>
      <c r="B308" s="211" t="s">
        <v>290</v>
      </c>
      <c r="C308" s="211" t="s">
        <v>827</v>
      </c>
      <c r="D308" s="199"/>
      <c r="E308" s="214" t="s">
        <v>894</v>
      </c>
      <c r="F308" s="214">
        <v>1745.28</v>
      </c>
      <c r="G308" s="214">
        <v>1583.3</v>
      </c>
      <c r="H308" s="215">
        <v>1899.9599999999998</v>
      </c>
      <c r="I308" s="216"/>
    </row>
    <row r="309" spans="1:9" hidden="1" x14ac:dyDescent="0.3">
      <c r="A309" s="211" t="s">
        <v>895</v>
      </c>
      <c r="B309" s="211" t="s">
        <v>412</v>
      </c>
      <c r="C309" s="211" t="s">
        <v>788</v>
      </c>
      <c r="D309" s="199"/>
      <c r="E309" s="214" t="s">
        <v>896</v>
      </c>
      <c r="F309" s="214">
        <v>3204.06</v>
      </c>
      <c r="G309" s="214">
        <v>0</v>
      </c>
      <c r="H309" s="215">
        <v>0</v>
      </c>
      <c r="I309" s="216"/>
    </row>
    <row r="310" spans="1:9" hidden="1" x14ac:dyDescent="0.3">
      <c r="A310" s="211" t="s">
        <v>897</v>
      </c>
      <c r="B310" s="211" t="s">
        <v>293</v>
      </c>
      <c r="C310" s="211" t="s">
        <v>788</v>
      </c>
      <c r="D310" s="199"/>
      <c r="E310" s="214" t="s">
        <v>898</v>
      </c>
      <c r="F310" s="214">
        <v>1751.91</v>
      </c>
      <c r="G310" s="214">
        <v>1750</v>
      </c>
      <c r="H310" s="215">
        <v>2100</v>
      </c>
      <c r="I310" s="216"/>
    </row>
    <row r="311" spans="1:9" hidden="1" x14ac:dyDescent="0.3">
      <c r="A311" s="211" t="s">
        <v>899</v>
      </c>
      <c r="B311" s="211" t="s">
        <v>422</v>
      </c>
      <c r="C311" s="211" t="s">
        <v>900</v>
      </c>
      <c r="D311" s="199"/>
      <c r="E311" s="214" t="s">
        <v>901</v>
      </c>
      <c r="F311" s="214">
        <v>8593.69</v>
      </c>
      <c r="G311" s="214">
        <v>7583.3</v>
      </c>
      <c r="H311" s="215">
        <v>9099.9600000000009</v>
      </c>
      <c r="I311" s="216"/>
    </row>
    <row r="312" spans="1:9" hidden="1" x14ac:dyDescent="0.3">
      <c r="A312" s="211" t="s">
        <v>902</v>
      </c>
      <c r="B312" s="211" t="s">
        <v>454</v>
      </c>
      <c r="C312" s="211" t="s">
        <v>900</v>
      </c>
      <c r="D312" s="199"/>
      <c r="E312" s="214" t="s">
        <v>903</v>
      </c>
      <c r="F312" s="214">
        <v>4298.43</v>
      </c>
      <c r="G312" s="214">
        <v>4250</v>
      </c>
      <c r="H312" s="215">
        <v>5100</v>
      </c>
      <c r="I312" s="216"/>
    </row>
    <row r="313" spans="1:9" hidden="1" x14ac:dyDescent="0.3">
      <c r="A313" s="211" t="s">
        <v>904</v>
      </c>
      <c r="B313" s="211" t="s">
        <v>457</v>
      </c>
      <c r="C313" s="211" t="s">
        <v>900</v>
      </c>
      <c r="D313" s="199"/>
      <c r="E313" s="214" t="s">
        <v>905</v>
      </c>
      <c r="F313" s="214">
        <v>4655.49</v>
      </c>
      <c r="G313" s="214">
        <v>4666.7</v>
      </c>
      <c r="H313" s="215">
        <v>5600.0399999999991</v>
      </c>
      <c r="I313" s="216"/>
    </row>
    <row r="314" spans="1:9" hidden="1" x14ac:dyDescent="0.3">
      <c r="A314" s="211" t="s">
        <v>906</v>
      </c>
      <c r="B314" s="211" t="s">
        <v>460</v>
      </c>
      <c r="C314" s="211" t="s">
        <v>900</v>
      </c>
      <c r="D314" s="199"/>
      <c r="E314" s="214" t="s">
        <v>907</v>
      </c>
      <c r="F314" s="214">
        <v>2853</v>
      </c>
      <c r="G314" s="214">
        <v>3000</v>
      </c>
      <c r="H314" s="215">
        <v>3600</v>
      </c>
      <c r="I314" s="216"/>
    </row>
    <row r="315" spans="1:9" hidden="1" x14ac:dyDescent="0.3">
      <c r="A315" s="211" t="s">
        <v>908</v>
      </c>
      <c r="B315" s="211" t="s">
        <v>402</v>
      </c>
      <c r="C315" s="211" t="s">
        <v>900</v>
      </c>
      <c r="D315" s="199"/>
      <c r="E315" s="214" t="s">
        <v>909</v>
      </c>
      <c r="F315" s="214">
        <v>1578.16</v>
      </c>
      <c r="G315" s="214">
        <v>1166.7</v>
      </c>
      <c r="H315" s="215">
        <v>1400.04</v>
      </c>
      <c r="I315" s="216"/>
    </row>
    <row r="316" spans="1:9" hidden="1" x14ac:dyDescent="0.3">
      <c r="A316" s="211" t="s">
        <v>910</v>
      </c>
      <c r="B316" s="211" t="s">
        <v>465</v>
      </c>
      <c r="C316" s="211" t="s">
        <v>900</v>
      </c>
      <c r="D316" s="199"/>
      <c r="E316" s="214" t="s">
        <v>911</v>
      </c>
      <c r="F316" s="214">
        <v>1490.92</v>
      </c>
      <c r="G316" s="214">
        <v>0</v>
      </c>
      <c r="H316" s="215">
        <v>0</v>
      </c>
      <c r="I316" s="216"/>
    </row>
    <row r="317" spans="1:9" hidden="1" x14ac:dyDescent="0.3">
      <c r="A317" s="211" t="s">
        <v>912</v>
      </c>
      <c r="B317" s="211" t="s">
        <v>468</v>
      </c>
      <c r="C317" s="211" t="s">
        <v>900</v>
      </c>
      <c r="D317" s="199"/>
      <c r="E317" s="214" t="s">
        <v>913</v>
      </c>
      <c r="F317" s="214">
        <v>2284.1799999999998</v>
      </c>
      <c r="G317" s="214">
        <v>2166.6999999999998</v>
      </c>
      <c r="H317" s="215">
        <v>2600.04</v>
      </c>
      <c r="I317" s="216"/>
    </row>
    <row r="318" spans="1:9" hidden="1" x14ac:dyDescent="0.3">
      <c r="A318" s="211" t="s">
        <v>914</v>
      </c>
      <c r="B318" s="211" t="s">
        <v>465</v>
      </c>
      <c r="C318" s="211" t="s">
        <v>915</v>
      </c>
      <c r="D318" s="199"/>
      <c r="E318" s="214" t="s">
        <v>916</v>
      </c>
      <c r="F318" s="214">
        <v>29084.45</v>
      </c>
      <c r="G318" s="214">
        <v>30000</v>
      </c>
      <c r="H318" s="215">
        <v>36000</v>
      </c>
      <c r="I318" s="216"/>
    </row>
    <row r="319" spans="1:9" hidden="1" x14ac:dyDescent="0.3">
      <c r="A319" s="211" t="s">
        <v>917</v>
      </c>
      <c r="B319" s="211" t="s">
        <v>473</v>
      </c>
      <c r="C319" s="211" t="s">
        <v>915</v>
      </c>
      <c r="D319" s="199"/>
      <c r="E319" s="214" t="s">
        <v>918</v>
      </c>
      <c r="F319" s="214">
        <v>171.45</v>
      </c>
      <c r="G319" s="214">
        <v>0</v>
      </c>
      <c r="H319" s="215">
        <v>0</v>
      </c>
      <c r="I319" s="216"/>
    </row>
    <row r="320" spans="1:9" hidden="1" x14ac:dyDescent="0.3">
      <c r="A320" s="211" t="s">
        <v>919</v>
      </c>
      <c r="B320" s="211" t="s">
        <v>473</v>
      </c>
      <c r="C320" s="211" t="s">
        <v>915</v>
      </c>
      <c r="D320" s="199"/>
      <c r="E320" s="214" t="s">
        <v>920</v>
      </c>
      <c r="F320" s="214">
        <v>6606.17</v>
      </c>
      <c r="G320" s="214">
        <v>6916.7</v>
      </c>
      <c r="H320" s="215">
        <v>8300.0399999999991</v>
      </c>
      <c r="I320" s="216"/>
    </row>
    <row r="321" spans="1:9" hidden="1" x14ac:dyDescent="0.3">
      <c r="A321" s="211" t="s">
        <v>921</v>
      </c>
      <c r="B321" s="211" t="s">
        <v>247</v>
      </c>
      <c r="C321" s="211" t="s">
        <v>915</v>
      </c>
      <c r="D321" s="199"/>
      <c r="E321" s="214" t="s">
        <v>922</v>
      </c>
      <c r="F321" s="214">
        <v>1441.16</v>
      </c>
      <c r="G321" s="214">
        <v>1416.7</v>
      </c>
      <c r="H321" s="215">
        <v>1700.0400000000002</v>
      </c>
      <c r="I321" s="216"/>
    </row>
    <row r="322" spans="1:9" hidden="1" x14ac:dyDescent="0.3">
      <c r="A322" s="211" t="s">
        <v>923</v>
      </c>
      <c r="B322" s="211" t="s">
        <v>480</v>
      </c>
      <c r="C322" s="211" t="s">
        <v>915</v>
      </c>
      <c r="D322" s="199"/>
      <c r="E322" s="214" t="s">
        <v>924</v>
      </c>
      <c r="F322" s="214">
        <v>4496.74</v>
      </c>
      <c r="G322" s="214">
        <v>4583.3</v>
      </c>
      <c r="H322" s="215">
        <v>5499.9600000000009</v>
      </c>
      <c r="I322" s="216"/>
    </row>
    <row r="323" spans="1:9" hidden="1" x14ac:dyDescent="0.3">
      <c r="A323" s="211" t="s">
        <v>925</v>
      </c>
      <c r="B323" s="211" t="s">
        <v>422</v>
      </c>
      <c r="C323" s="211" t="s">
        <v>900</v>
      </c>
      <c r="D323" s="199"/>
      <c r="E323" s="214" t="s">
        <v>926</v>
      </c>
      <c r="F323" s="214">
        <v>2742.32</v>
      </c>
      <c r="G323" s="214">
        <v>2333.3000000000002</v>
      </c>
      <c r="H323" s="215">
        <v>2799.96</v>
      </c>
      <c r="I323" s="216"/>
    </row>
    <row r="324" spans="1:9" hidden="1" x14ac:dyDescent="0.3">
      <c r="A324" s="211" t="s">
        <v>927</v>
      </c>
      <c r="B324" s="211" t="s">
        <v>485</v>
      </c>
      <c r="C324" s="211" t="s">
        <v>915</v>
      </c>
      <c r="D324" s="199"/>
      <c r="E324" s="214" t="s">
        <v>928</v>
      </c>
      <c r="F324" s="214">
        <v>2431.4499999999998</v>
      </c>
      <c r="G324" s="214">
        <v>2333.3000000000002</v>
      </c>
      <c r="H324" s="215">
        <v>2799.96</v>
      </c>
      <c r="I324" s="216"/>
    </row>
    <row r="325" spans="1:9" hidden="1" x14ac:dyDescent="0.3">
      <c r="A325" s="211" t="s">
        <v>929</v>
      </c>
      <c r="B325" s="211" t="s">
        <v>465</v>
      </c>
      <c r="C325" s="211" t="s">
        <v>915</v>
      </c>
      <c r="D325" s="199"/>
      <c r="E325" s="214" t="s">
        <v>930</v>
      </c>
      <c r="F325" s="214">
        <v>4430.1000000000004</v>
      </c>
      <c r="G325" s="214">
        <v>4833.3</v>
      </c>
      <c r="H325" s="215">
        <v>5799.9600000000009</v>
      </c>
      <c r="I325" s="216"/>
    </row>
    <row r="326" spans="1:9" hidden="1" x14ac:dyDescent="0.3">
      <c r="A326" s="211" t="s">
        <v>931</v>
      </c>
      <c r="B326" s="211" t="s">
        <v>490</v>
      </c>
      <c r="C326" s="211" t="s">
        <v>915</v>
      </c>
      <c r="D326" s="199"/>
      <c r="E326" s="214" t="s">
        <v>932</v>
      </c>
      <c r="F326" s="214">
        <v>1451.59</v>
      </c>
      <c r="G326" s="214">
        <v>1083.3</v>
      </c>
      <c r="H326" s="215">
        <v>1299.96</v>
      </c>
      <c r="I326" s="216"/>
    </row>
    <row r="327" spans="1:9" hidden="1" x14ac:dyDescent="0.3">
      <c r="A327" s="211" t="s">
        <v>933</v>
      </c>
      <c r="B327" s="211" t="s">
        <v>280</v>
      </c>
      <c r="C327" s="211" t="s">
        <v>915</v>
      </c>
      <c r="D327" s="199"/>
      <c r="E327" s="214" t="s">
        <v>934</v>
      </c>
      <c r="F327" s="214">
        <v>799.91</v>
      </c>
      <c r="G327" s="214">
        <v>750</v>
      </c>
      <c r="H327" s="215">
        <v>900</v>
      </c>
      <c r="I327" s="216"/>
    </row>
    <row r="328" spans="1:9" hidden="1" x14ac:dyDescent="0.3">
      <c r="A328" s="211" t="s">
        <v>935</v>
      </c>
      <c r="B328" s="211" t="s">
        <v>412</v>
      </c>
      <c r="C328" s="211" t="s">
        <v>915</v>
      </c>
      <c r="D328" s="199"/>
      <c r="E328" s="214" t="s">
        <v>936</v>
      </c>
      <c r="F328" s="214">
        <v>4231.2299999999996</v>
      </c>
      <c r="G328" s="214">
        <v>4083.3</v>
      </c>
      <c r="H328" s="215">
        <v>4899.9600000000009</v>
      </c>
      <c r="I328" s="216"/>
    </row>
    <row r="329" spans="1:9" hidden="1" x14ac:dyDescent="0.3">
      <c r="A329" s="211" t="s">
        <v>937</v>
      </c>
      <c r="B329" s="211" t="s">
        <v>497</v>
      </c>
      <c r="C329" s="211" t="s">
        <v>938</v>
      </c>
      <c r="D329" s="199"/>
      <c r="E329" s="214" t="s">
        <v>939</v>
      </c>
      <c r="F329" s="214">
        <v>2323.52</v>
      </c>
      <c r="G329" s="214">
        <v>2250</v>
      </c>
      <c r="H329" s="215">
        <v>2700</v>
      </c>
      <c r="I329" s="216"/>
    </row>
    <row r="330" spans="1:9" hidden="1" x14ac:dyDescent="0.3">
      <c r="A330" s="211" t="s">
        <v>940</v>
      </c>
      <c r="B330" s="211" t="s">
        <v>251</v>
      </c>
      <c r="C330" s="211" t="s">
        <v>915</v>
      </c>
      <c r="D330" s="199"/>
      <c r="E330" s="214" t="s">
        <v>941</v>
      </c>
      <c r="F330" s="214">
        <v>10530.62</v>
      </c>
      <c r="G330" s="214">
        <v>10333.299999999999</v>
      </c>
      <c r="H330" s="215">
        <v>12399.96</v>
      </c>
      <c r="I330" s="216"/>
    </row>
    <row r="331" spans="1:9" hidden="1" x14ac:dyDescent="0.3">
      <c r="A331" s="211" t="s">
        <v>942</v>
      </c>
      <c r="B331" s="211" t="s">
        <v>257</v>
      </c>
      <c r="C331" s="211" t="s">
        <v>915</v>
      </c>
      <c r="D331" s="199"/>
      <c r="E331" s="214" t="s">
        <v>943</v>
      </c>
      <c r="F331" s="214">
        <v>2770.78</v>
      </c>
      <c r="G331" s="214">
        <v>0</v>
      </c>
      <c r="H331" s="215">
        <v>0</v>
      </c>
      <c r="I331" s="216"/>
    </row>
    <row r="332" spans="1:9" hidden="1" x14ac:dyDescent="0.3">
      <c r="A332" s="211" t="s">
        <v>944</v>
      </c>
      <c r="B332" s="211" t="s">
        <v>490</v>
      </c>
      <c r="C332" s="211" t="s">
        <v>915</v>
      </c>
      <c r="D332" s="199"/>
      <c r="E332" s="214" t="s">
        <v>945</v>
      </c>
      <c r="F332" s="214">
        <v>6910.05</v>
      </c>
      <c r="G332" s="214">
        <v>7333.3</v>
      </c>
      <c r="H332" s="215">
        <v>8799.9600000000009</v>
      </c>
      <c r="I332" s="216"/>
    </row>
    <row r="333" spans="1:9" hidden="1" x14ac:dyDescent="0.3">
      <c r="A333" s="211" t="s">
        <v>946</v>
      </c>
      <c r="B333" s="211" t="s">
        <v>508</v>
      </c>
      <c r="C333" s="211" t="s">
        <v>915</v>
      </c>
      <c r="D333" s="199"/>
      <c r="E333" s="214" t="s">
        <v>947</v>
      </c>
      <c r="F333" s="214">
        <v>812.42</v>
      </c>
      <c r="G333" s="214">
        <v>833.3</v>
      </c>
      <c r="H333" s="215">
        <v>999.96</v>
      </c>
      <c r="I333" s="216"/>
    </row>
    <row r="334" spans="1:9" hidden="1" x14ac:dyDescent="0.3">
      <c r="A334" s="211" t="s">
        <v>948</v>
      </c>
      <c r="B334" s="211" t="s">
        <v>511</v>
      </c>
      <c r="C334" s="211" t="s">
        <v>915</v>
      </c>
      <c r="D334" s="199"/>
      <c r="E334" s="214" t="s">
        <v>949</v>
      </c>
      <c r="F334" s="214">
        <v>3828.84</v>
      </c>
      <c r="G334" s="214">
        <v>3500</v>
      </c>
      <c r="H334" s="215">
        <v>4200</v>
      </c>
      <c r="I334" s="216"/>
    </row>
    <row r="335" spans="1:9" hidden="1" x14ac:dyDescent="0.3">
      <c r="A335" s="211" t="s">
        <v>950</v>
      </c>
      <c r="B335" s="211" t="s">
        <v>425</v>
      </c>
      <c r="C335" s="211" t="s">
        <v>900</v>
      </c>
      <c r="D335" s="199"/>
      <c r="E335" s="214" t="s">
        <v>951</v>
      </c>
      <c r="F335" s="214">
        <v>831.7</v>
      </c>
      <c r="G335" s="214">
        <v>0</v>
      </c>
      <c r="H335" s="215">
        <v>0</v>
      </c>
      <c r="I335" s="216"/>
    </row>
    <row r="336" spans="1:9" hidden="1" x14ac:dyDescent="0.3">
      <c r="A336" s="211" t="s">
        <v>952</v>
      </c>
      <c r="B336" s="211" t="s">
        <v>422</v>
      </c>
      <c r="C336" s="211" t="s">
        <v>900</v>
      </c>
      <c r="D336" s="199"/>
      <c r="E336" s="214" t="s">
        <v>953</v>
      </c>
      <c r="F336" s="214">
        <v>937.79</v>
      </c>
      <c r="G336" s="214">
        <v>1166.7</v>
      </c>
      <c r="H336" s="215">
        <v>1400.04</v>
      </c>
      <c r="I336" s="216"/>
    </row>
    <row r="337" spans="1:9" hidden="1" x14ac:dyDescent="0.3">
      <c r="A337" s="211" t="s">
        <v>954</v>
      </c>
      <c r="B337" s="211" t="s">
        <v>300</v>
      </c>
      <c r="C337" s="211" t="s">
        <v>900</v>
      </c>
      <c r="D337" s="199"/>
      <c r="E337" s="214" t="s">
        <v>955</v>
      </c>
      <c r="F337" s="214">
        <v>338.73</v>
      </c>
      <c r="G337" s="214">
        <v>416.7</v>
      </c>
      <c r="H337" s="215">
        <v>500.04</v>
      </c>
      <c r="I337" s="216"/>
    </row>
    <row r="338" spans="1:9" hidden="1" x14ac:dyDescent="0.3">
      <c r="A338" s="211" t="s">
        <v>956</v>
      </c>
      <c r="B338" s="211" t="s">
        <v>465</v>
      </c>
      <c r="C338" s="211" t="s">
        <v>915</v>
      </c>
      <c r="D338" s="199"/>
      <c r="E338" s="214" t="s">
        <v>957</v>
      </c>
      <c r="F338" s="214">
        <v>4006.83</v>
      </c>
      <c r="G338" s="214">
        <v>4083.3</v>
      </c>
      <c r="H338" s="215">
        <v>4899.9600000000009</v>
      </c>
      <c r="I338" s="216"/>
    </row>
    <row r="339" spans="1:9" hidden="1" x14ac:dyDescent="0.3">
      <c r="A339" s="211" t="s">
        <v>958</v>
      </c>
      <c r="B339" s="211" t="s">
        <v>490</v>
      </c>
      <c r="C339" s="211" t="s">
        <v>915</v>
      </c>
      <c r="D339" s="199"/>
      <c r="E339" s="214" t="s">
        <v>959</v>
      </c>
      <c r="F339" s="214">
        <v>2263.21</v>
      </c>
      <c r="G339" s="214">
        <v>1666.7</v>
      </c>
      <c r="H339" s="215">
        <v>2000.0400000000002</v>
      </c>
      <c r="I339" s="216"/>
    </row>
    <row r="340" spans="1:9" hidden="1" x14ac:dyDescent="0.3">
      <c r="A340" s="211" t="s">
        <v>960</v>
      </c>
      <c r="B340" s="211" t="s">
        <v>425</v>
      </c>
      <c r="C340" s="211" t="s">
        <v>915</v>
      </c>
      <c r="D340" s="199"/>
      <c r="E340" s="214" t="s">
        <v>961</v>
      </c>
      <c r="F340" s="214">
        <v>0</v>
      </c>
      <c r="G340" s="214">
        <v>833.3</v>
      </c>
      <c r="H340" s="215">
        <v>999.96</v>
      </c>
      <c r="I340" s="216"/>
    </row>
    <row r="341" spans="1:9" hidden="1" x14ac:dyDescent="0.3">
      <c r="A341" s="211" t="s">
        <v>962</v>
      </c>
      <c r="B341" s="211" t="s">
        <v>524</v>
      </c>
      <c r="C341" s="211" t="s">
        <v>900</v>
      </c>
      <c r="D341" s="199"/>
      <c r="E341" s="214" t="s">
        <v>963</v>
      </c>
      <c r="F341" s="214">
        <v>5596.95</v>
      </c>
      <c r="G341" s="214">
        <v>5666.7</v>
      </c>
      <c r="H341" s="215">
        <v>6800.0399999999991</v>
      </c>
      <c r="I341" s="216"/>
    </row>
    <row r="342" spans="1:9" hidden="1" x14ac:dyDescent="0.3">
      <c r="A342" s="211" t="s">
        <v>964</v>
      </c>
      <c r="B342" s="211" t="s">
        <v>422</v>
      </c>
      <c r="C342" s="211" t="s">
        <v>900</v>
      </c>
      <c r="D342" s="199"/>
      <c r="E342" s="214" t="s">
        <v>965</v>
      </c>
      <c r="F342" s="214">
        <v>2205.66</v>
      </c>
      <c r="G342" s="214">
        <v>2250</v>
      </c>
      <c r="H342" s="215">
        <v>2700</v>
      </c>
      <c r="I342" s="216"/>
    </row>
    <row r="343" spans="1:9" hidden="1" x14ac:dyDescent="0.3">
      <c r="A343" s="211" t="s">
        <v>966</v>
      </c>
      <c r="B343" s="211" t="s">
        <v>280</v>
      </c>
      <c r="C343" s="211" t="s">
        <v>915</v>
      </c>
      <c r="D343" s="199"/>
      <c r="E343" s="214" t="s">
        <v>967</v>
      </c>
      <c r="F343" s="214">
        <v>5226.59</v>
      </c>
      <c r="G343" s="214">
        <v>6166.7</v>
      </c>
      <c r="H343" s="215">
        <v>7400.0399999999991</v>
      </c>
      <c r="I343" s="216"/>
    </row>
    <row r="344" spans="1:9" hidden="1" x14ac:dyDescent="0.3">
      <c r="A344" s="211" t="s">
        <v>968</v>
      </c>
      <c r="B344" s="211" t="s">
        <v>303</v>
      </c>
      <c r="C344" s="211" t="s">
        <v>915</v>
      </c>
      <c r="D344" s="199"/>
      <c r="E344" s="214" t="s">
        <v>969</v>
      </c>
      <c r="F344" s="214">
        <v>830.07</v>
      </c>
      <c r="G344" s="214">
        <v>833.3</v>
      </c>
      <c r="H344" s="215">
        <v>999.96</v>
      </c>
      <c r="I344" s="216"/>
    </row>
    <row r="345" spans="1:9" hidden="1" x14ac:dyDescent="0.3">
      <c r="A345" s="211" t="s">
        <v>970</v>
      </c>
      <c r="B345" s="211" t="s">
        <v>280</v>
      </c>
      <c r="C345" s="211" t="s">
        <v>915</v>
      </c>
      <c r="D345" s="199"/>
      <c r="E345" s="214" t="s">
        <v>971</v>
      </c>
      <c r="F345" s="214">
        <v>5341.51</v>
      </c>
      <c r="G345" s="214">
        <v>4666.7</v>
      </c>
      <c r="H345" s="215">
        <v>5600.0399999999991</v>
      </c>
      <c r="I345" s="216"/>
    </row>
    <row r="346" spans="1:9" hidden="1" x14ac:dyDescent="0.3">
      <c r="A346" s="211" t="s">
        <v>972</v>
      </c>
      <c r="B346" s="211" t="s">
        <v>280</v>
      </c>
      <c r="C346" s="211" t="s">
        <v>915</v>
      </c>
      <c r="D346" s="199"/>
      <c r="E346" s="214" t="s">
        <v>973</v>
      </c>
      <c r="F346" s="214">
        <v>839.28</v>
      </c>
      <c r="G346" s="214">
        <v>833.3</v>
      </c>
      <c r="H346" s="215">
        <v>999.96</v>
      </c>
      <c r="I346" s="216"/>
    </row>
    <row r="347" spans="1:9" hidden="1" x14ac:dyDescent="0.3">
      <c r="A347" s="211" t="s">
        <v>974</v>
      </c>
      <c r="B347" s="211" t="s">
        <v>280</v>
      </c>
      <c r="C347" s="211" t="s">
        <v>915</v>
      </c>
      <c r="D347" s="199"/>
      <c r="E347" s="214" t="s">
        <v>975</v>
      </c>
      <c r="F347" s="214">
        <v>2489.02</v>
      </c>
      <c r="G347" s="214">
        <v>2500</v>
      </c>
      <c r="H347" s="215">
        <v>3000</v>
      </c>
      <c r="I347" s="216"/>
    </row>
    <row r="348" spans="1:9" hidden="1" x14ac:dyDescent="0.3">
      <c r="A348" s="211" t="s">
        <v>976</v>
      </c>
      <c r="B348" s="211" t="s">
        <v>280</v>
      </c>
      <c r="C348" s="211" t="s">
        <v>915</v>
      </c>
      <c r="D348" s="199"/>
      <c r="E348" s="214" t="s">
        <v>977</v>
      </c>
      <c r="F348" s="214">
        <v>11261.66</v>
      </c>
      <c r="G348" s="214">
        <v>11000</v>
      </c>
      <c r="H348" s="215">
        <v>13200</v>
      </c>
      <c r="I348" s="216"/>
    </row>
    <row r="349" spans="1:9" hidden="1" x14ac:dyDescent="0.3">
      <c r="A349" s="211" t="s">
        <v>978</v>
      </c>
      <c r="B349" s="211" t="s">
        <v>280</v>
      </c>
      <c r="C349" s="211" t="s">
        <v>915</v>
      </c>
      <c r="D349" s="199"/>
      <c r="E349" s="214" t="s">
        <v>979</v>
      </c>
      <c r="F349" s="214">
        <v>9458.16</v>
      </c>
      <c r="G349" s="214">
        <v>9333.2999999999993</v>
      </c>
      <c r="H349" s="215">
        <v>11199.96</v>
      </c>
      <c r="I349" s="216"/>
    </row>
    <row r="350" spans="1:9" hidden="1" x14ac:dyDescent="0.3">
      <c r="A350" s="211" t="s">
        <v>980</v>
      </c>
      <c r="B350" s="211" t="s">
        <v>280</v>
      </c>
      <c r="C350" s="211" t="s">
        <v>915</v>
      </c>
      <c r="D350" s="199"/>
      <c r="E350" s="214" t="s">
        <v>981</v>
      </c>
      <c r="F350" s="214">
        <v>11002.57</v>
      </c>
      <c r="G350" s="214">
        <v>10333.299999999999</v>
      </c>
      <c r="H350" s="215">
        <v>12399.96</v>
      </c>
      <c r="I350" s="216"/>
    </row>
    <row r="351" spans="1:9" hidden="1" x14ac:dyDescent="0.3">
      <c r="A351" s="211" t="s">
        <v>982</v>
      </c>
      <c r="B351" s="211" t="s">
        <v>280</v>
      </c>
      <c r="C351" s="211" t="s">
        <v>915</v>
      </c>
      <c r="D351" s="199"/>
      <c r="E351" s="214" t="s">
        <v>983</v>
      </c>
      <c r="F351" s="214">
        <v>1703.33</v>
      </c>
      <c r="G351" s="214">
        <v>2166.6999999999998</v>
      </c>
      <c r="H351" s="215">
        <v>2600.04</v>
      </c>
      <c r="I351" s="216"/>
    </row>
    <row r="352" spans="1:9" hidden="1" x14ac:dyDescent="0.3">
      <c r="A352" s="211" t="s">
        <v>984</v>
      </c>
      <c r="B352" s="211" t="s">
        <v>283</v>
      </c>
      <c r="C352" s="211" t="s">
        <v>915</v>
      </c>
      <c r="D352" s="199"/>
      <c r="E352" s="214" t="s">
        <v>985</v>
      </c>
      <c r="F352" s="214">
        <v>8593.18</v>
      </c>
      <c r="G352" s="214">
        <v>8416.7000000000007</v>
      </c>
      <c r="H352" s="215">
        <v>10100.040000000001</v>
      </c>
      <c r="I352" s="216"/>
    </row>
    <row r="353" spans="1:9" hidden="1" x14ac:dyDescent="0.3">
      <c r="A353" s="211" t="s">
        <v>986</v>
      </c>
      <c r="B353" s="211" t="s">
        <v>287</v>
      </c>
      <c r="C353" s="211" t="s">
        <v>915</v>
      </c>
      <c r="D353" s="199"/>
      <c r="E353" s="214" t="s">
        <v>987</v>
      </c>
      <c r="F353" s="214">
        <v>8428.6299999999992</v>
      </c>
      <c r="G353" s="214">
        <v>7166.7</v>
      </c>
      <c r="H353" s="215">
        <v>8600.0399999999991</v>
      </c>
      <c r="I353" s="216"/>
    </row>
    <row r="354" spans="1:9" hidden="1" x14ac:dyDescent="0.3">
      <c r="A354" s="211" t="s">
        <v>988</v>
      </c>
      <c r="B354" s="211" t="s">
        <v>306</v>
      </c>
      <c r="C354" s="211" t="s">
        <v>915</v>
      </c>
      <c r="D354" s="199"/>
      <c r="E354" s="214" t="s">
        <v>989</v>
      </c>
      <c r="F354" s="214">
        <v>67.569999999999993</v>
      </c>
      <c r="G354" s="214">
        <v>0</v>
      </c>
      <c r="H354" s="215">
        <v>0</v>
      </c>
      <c r="I354" s="216"/>
    </row>
    <row r="355" spans="1:9" hidden="1" x14ac:dyDescent="0.3">
      <c r="A355" s="211" t="s">
        <v>990</v>
      </c>
      <c r="B355" s="211" t="s">
        <v>412</v>
      </c>
      <c r="C355" s="211" t="s">
        <v>938</v>
      </c>
      <c r="D355" s="199"/>
      <c r="E355" s="214" t="s">
        <v>991</v>
      </c>
      <c r="F355" s="214">
        <v>4510.68</v>
      </c>
      <c r="G355" s="214">
        <v>4500</v>
      </c>
      <c r="H355" s="215">
        <v>5400</v>
      </c>
      <c r="I355" s="216"/>
    </row>
    <row r="356" spans="1:9" hidden="1" x14ac:dyDescent="0.3">
      <c r="A356" s="211" t="s">
        <v>992</v>
      </c>
      <c r="B356" s="211" t="s">
        <v>412</v>
      </c>
      <c r="C356" s="211" t="s">
        <v>915</v>
      </c>
      <c r="D356" s="199"/>
      <c r="E356" s="214" t="s">
        <v>993</v>
      </c>
      <c r="F356" s="214">
        <v>9362.48</v>
      </c>
      <c r="G356" s="214">
        <v>8333.2999999999993</v>
      </c>
      <c r="H356" s="215">
        <v>9999.9599999999991</v>
      </c>
      <c r="I356" s="216"/>
    </row>
    <row r="357" spans="1:9" hidden="1" x14ac:dyDescent="0.3">
      <c r="A357" s="211" t="s">
        <v>994</v>
      </c>
      <c r="B357" s="211" t="s">
        <v>412</v>
      </c>
      <c r="C357" s="211" t="s">
        <v>915</v>
      </c>
      <c r="D357" s="199"/>
      <c r="E357" s="214" t="s">
        <v>995</v>
      </c>
      <c r="F357" s="214">
        <v>4097.17</v>
      </c>
      <c r="G357" s="214">
        <v>4000</v>
      </c>
      <c r="H357" s="215">
        <v>4800</v>
      </c>
      <c r="I357" s="216"/>
    </row>
    <row r="358" spans="1:9" hidden="1" x14ac:dyDescent="0.3">
      <c r="A358" s="211" t="s">
        <v>996</v>
      </c>
      <c r="B358" s="211" t="s">
        <v>412</v>
      </c>
      <c r="C358" s="211" t="s">
        <v>915</v>
      </c>
      <c r="D358" s="199"/>
      <c r="E358" s="214" t="s">
        <v>997</v>
      </c>
      <c r="F358" s="214">
        <v>13527.14</v>
      </c>
      <c r="G358" s="214">
        <v>13000</v>
      </c>
      <c r="H358" s="215">
        <v>15600</v>
      </c>
      <c r="I358" s="216"/>
    </row>
    <row r="359" spans="1:9" hidden="1" x14ac:dyDescent="0.3">
      <c r="A359" s="211" t="s">
        <v>998</v>
      </c>
      <c r="B359" s="211" t="s">
        <v>306</v>
      </c>
      <c r="C359" s="211" t="s">
        <v>915</v>
      </c>
      <c r="D359" s="199"/>
      <c r="E359" s="214" t="s">
        <v>999</v>
      </c>
      <c r="F359" s="214">
        <v>401.36</v>
      </c>
      <c r="G359" s="214">
        <v>0</v>
      </c>
      <c r="H359" s="215">
        <v>0</v>
      </c>
      <c r="I359" s="216"/>
    </row>
    <row r="360" spans="1:9" hidden="1" x14ac:dyDescent="0.3">
      <c r="A360" s="211" t="s">
        <v>1000</v>
      </c>
      <c r="B360" s="211" t="s">
        <v>558</v>
      </c>
      <c r="C360" s="211" t="s">
        <v>915</v>
      </c>
      <c r="D360" s="199"/>
      <c r="E360" s="214" t="s">
        <v>1001</v>
      </c>
      <c r="F360" s="214">
        <v>8683.75</v>
      </c>
      <c r="G360" s="214">
        <v>8000</v>
      </c>
      <c r="H360" s="215">
        <v>9600</v>
      </c>
      <c r="I360" s="216"/>
    </row>
    <row r="361" spans="1:9" hidden="1" x14ac:dyDescent="0.3">
      <c r="A361" s="211" t="s">
        <v>1002</v>
      </c>
      <c r="B361" s="211" t="s">
        <v>561</v>
      </c>
      <c r="C361" s="211" t="s">
        <v>915</v>
      </c>
      <c r="D361" s="199"/>
      <c r="E361" s="214" t="s">
        <v>1003</v>
      </c>
      <c r="F361" s="214">
        <v>2203.08</v>
      </c>
      <c r="G361" s="214">
        <v>2250</v>
      </c>
      <c r="H361" s="215">
        <v>2700</v>
      </c>
      <c r="I361" s="216"/>
    </row>
    <row r="362" spans="1:9" hidden="1" x14ac:dyDescent="0.3">
      <c r="A362" s="211" t="s">
        <v>1004</v>
      </c>
      <c r="B362" s="211" t="s">
        <v>290</v>
      </c>
      <c r="C362" s="211" t="s">
        <v>938</v>
      </c>
      <c r="D362" s="199"/>
      <c r="E362" s="214" t="s">
        <v>1005</v>
      </c>
      <c r="F362" s="214">
        <v>1955.39</v>
      </c>
      <c r="G362" s="214">
        <v>1833.3</v>
      </c>
      <c r="H362" s="215">
        <v>2199.96</v>
      </c>
      <c r="I362" s="216"/>
    </row>
    <row r="363" spans="1:9" hidden="1" x14ac:dyDescent="0.3">
      <c r="A363" s="211" t="s">
        <v>1006</v>
      </c>
      <c r="B363" s="211" t="s">
        <v>412</v>
      </c>
      <c r="C363" s="211" t="s">
        <v>900</v>
      </c>
      <c r="D363" s="199"/>
      <c r="E363" s="214" t="s">
        <v>1007</v>
      </c>
      <c r="F363" s="214">
        <v>2814.08</v>
      </c>
      <c r="G363" s="214">
        <v>0</v>
      </c>
      <c r="H363" s="215">
        <v>0</v>
      </c>
      <c r="I363" s="216"/>
    </row>
    <row r="364" spans="1:9" hidden="1" x14ac:dyDescent="0.3">
      <c r="A364" s="211" t="s">
        <v>1008</v>
      </c>
      <c r="B364" s="211" t="s">
        <v>293</v>
      </c>
      <c r="C364" s="211" t="s">
        <v>900</v>
      </c>
      <c r="D364" s="199"/>
      <c r="E364" s="214" t="s">
        <v>1009</v>
      </c>
      <c r="F364" s="214">
        <v>1739.63</v>
      </c>
      <c r="G364" s="214">
        <v>1750</v>
      </c>
      <c r="H364" s="215">
        <v>2100</v>
      </c>
      <c r="I364" s="216"/>
    </row>
    <row r="365" spans="1:9" hidden="1" x14ac:dyDescent="0.3">
      <c r="A365" s="211" t="s">
        <v>1010</v>
      </c>
      <c r="B365" s="211" t="s">
        <v>280</v>
      </c>
      <c r="C365" s="211" t="s">
        <v>915</v>
      </c>
      <c r="D365" s="199"/>
      <c r="E365" s="214" t="s">
        <v>1011</v>
      </c>
      <c r="F365" s="214">
        <v>-3906.82</v>
      </c>
      <c r="G365" s="214">
        <v>-7083.3</v>
      </c>
      <c r="H365" s="215">
        <v>-8499.9600000000009</v>
      </c>
      <c r="I365" s="216"/>
    </row>
    <row r="366" spans="1:9" hidden="1" x14ac:dyDescent="0.3">
      <c r="A366" s="211" t="s">
        <v>1012</v>
      </c>
      <c r="B366" s="211" t="s">
        <v>422</v>
      </c>
      <c r="C366" s="211" t="s">
        <v>900</v>
      </c>
      <c r="D366" s="199"/>
      <c r="E366" s="214" t="s">
        <v>1013</v>
      </c>
      <c r="F366" s="214">
        <v>-796.25</v>
      </c>
      <c r="G366" s="214">
        <v>-7916.7</v>
      </c>
      <c r="H366" s="215">
        <v>-9500.0399999999991</v>
      </c>
      <c r="I366" s="216"/>
    </row>
    <row r="367" spans="1:9" hidden="1" x14ac:dyDescent="0.3">
      <c r="A367" s="211" t="s">
        <v>1014</v>
      </c>
      <c r="B367" s="211" t="s">
        <v>422</v>
      </c>
      <c r="C367" s="211" t="s">
        <v>900</v>
      </c>
      <c r="D367" s="199"/>
      <c r="E367" s="214" t="s">
        <v>1015</v>
      </c>
      <c r="F367" s="214">
        <v>-5277.5</v>
      </c>
      <c r="G367" s="214">
        <v>-7916.7</v>
      </c>
      <c r="H367" s="215">
        <v>-9500.0399999999991</v>
      </c>
      <c r="I367" s="216"/>
    </row>
    <row r="368" spans="1:9" hidden="1" x14ac:dyDescent="0.3">
      <c r="A368" s="211" t="s">
        <v>1016</v>
      </c>
      <c r="B368" s="211" t="s">
        <v>422</v>
      </c>
      <c r="C368" s="211" t="s">
        <v>900</v>
      </c>
      <c r="D368" s="199"/>
      <c r="E368" s="214" t="s">
        <v>1017</v>
      </c>
      <c r="F368" s="214">
        <v>-796.25</v>
      </c>
      <c r="G368" s="214">
        <v>-7916.7</v>
      </c>
      <c r="H368" s="215">
        <v>-9500.0399999999991</v>
      </c>
      <c r="I368" s="216"/>
    </row>
    <row r="369" spans="1:10" hidden="1" x14ac:dyDescent="0.3">
      <c r="A369" s="211" t="s">
        <v>1018</v>
      </c>
      <c r="B369" s="211" t="s">
        <v>422</v>
      </c>
      <c r="C369" s="211" t="s">
        <v>900</v>
      </c>
      <c r="D369" s="199"/>
      <c r="E369" s="214" t="s">
        <v>1019</v>
      </c>
      <c r="F369" s="214">
        <v>-5202.49</v>
      </c>
      <c r="G369" s="214">
        <v>-7916.7</v>
      </c>
      <c r="H369" s="215">
        <v>-9500.0399999999991</v>
      </c>
      <c r="I369" s="216"/>
    </row>
    <row r="370" spans="1:10" hidden="1" x14ac:dyDescent="0.3">
      <c r="A370" s="211" t="s">
        <v>1020</v>
      </c>
      <c r="B370" s="211" t="s">
        <v>1021</v>
      </c>
      <c r="C370" s="211" t="s">
        <v>915</v>
      </c>
      <c r="D370" s="199"/>
      <c r="E370" s="214" t="s">
        <v>1022</v>
      </c>
      <c r="F370" s="214">
        <v>-4060.54</v>
      </c>
      <c r="G370" s="214">
        <v>-7916.7</v>
      </c>
      <c r="H370" s="215">
        <v>-9500.0399999999991</v>
      </c>
      <c r="I370" s="216"/>
    </row>
    <row r="371" spans="1:10" hidden="1" x14ac:dyDescent="0.3">
      <c r="A371" s="211" t="s">
        <v>1023</v>
      </c>
      <c r="B371" s="211" t="s">
        <v>422</v>
      </c>
      <c r="C371" s="211" t="s">
        <v>900</v>
      </c>
      <c r="D371" s="199"/>
      <c r="E371" s="214" t="s">
        <v>1024</v>
      </c>
      <c r="F371" s="214">
        <v>-4240.6899999999996</v>
      </c>
      <c r="G371" s="214">
        <v>-7083.3</v>
      </c>
      <c r="H371" s="215">
        <v>-8499.9600000000009</v>
      </c>
      <c r="I371" s="216"/>
    </row>
    <row r="372" spans="1:10" hidden="1" x14ac:dyDescent="0.3">
      <c r="A372" s="211" t="s">
        <v>1025</v>
      </c>
      <c r="B372" s="211" t="s">
        <v>422</v>
      </c>
      <c r="C372" s="211" t="s">
        <v>900</v>
      </c>
      <c r="D372" s="199"/>
      <c r="E372" s="214" t="s">
        <v>1026</v>
      </c>
      <c r="F372" s="214">
        <v>-4538.6499999999996</v>
      </c>
      <c r="G372" s="214">
        <v>-5833.3</v>
      </c>
      <c r="H372" s="215">
        <v>-6999.9600000000009</v>
      </c>
      <c r="I372" s="216"/>
    </row>
    <row r="373" spans="1:10" hidden="1" x14ac:dyDescent="0.3">
      <c r="A373" s="211" t="s">
        <v>1027</v>
      </c>
      <c r="B373" s="211" t="s">
        <v>422</v>
      </c>
      <c r="C373" s="211" t="s">
        <v>900</v>
      </c>
      <c r="D373" s="199"/>
      <c r="E373" s="214" t="s">
        <v>1028</v>
      </c>
      <c r="F373" s="214">
        <v>-5428.43</v>
      </c>
      <c r="G373" s="214">
        <v>-7083.3</v>
      </c>
      <c r="H373" s="215">
        <v>-8499.9600000000009</v>
      </c>
      <c r="I373" s="216"/>
    </row>
    <row r="374" spans="1:10" hidden="1" x14ac:dyDescent="0.3">
      <c r="A374" s="211" t="s">
        <v>1029</v>
      </c>
      <c r="B374" s="211" t="s">
        <v>422</v>
      </c>
      <c r="C374" s="211" t="s">
        <v>900</v>
      </c>
      <c r="D374" s="199"/>
      <c r="E374" s="214" t="s">
        <v>1030</v>
      </c>
      <c r="F374" s="214">
        <v>-600.80999999999995</v>
      </c>
      <c r="G374" s="214">
        <v>-833.3</v>
      </c>
      <c r="H374" s="215">
        <v>-999.96</v>
      </c>
      <c r="I374" s="216"/>
    </row>
    <row r="375" spans="1:10" hidden="1" x14ac:dyDescent="0.3">
      <c r="A375" s="211" t="s">
        <v>1031</v>
      </c>
      <c r="B375" s="211" t="s">
        <v>422</v>
      </c>
      <c r="C375" s="211" t="s">
        <v>900</v>
      </c>
      <c r="D375" s="199"/>
      <c r="E375" s="214" t="s">
        <v>1032</v>
      </c>
      <c r="F375" s="214">
        <v>-195.5</v>
      </c>
      <c r="G375" s="214">
        <v>0</v>
      </c>
      <c r="H375" s="215">
        <v>0</v>
      </c>
      <c r="I375" s="216">
        <v>0</v>
      </c>
      <c r="J375" s="205">
        <f>SUM(H103:H375)</f>
        <v>14303900.280000005</v>
      </c>
    </row>
    <row r="376" spans="1:10" hidden="1" x14ac:dyDescent="0.3">
      <c r="A376" s="211" t="s">
        <v>1033</v>
      </c>
      <c r="B376" s="211" t="s">
        <v>422</v>
      </c>
      <c r="C376" s="211" t="s">
        <v>1034</v>
      </c>
      <c r="D376" s="199"/>
      <c r="E376" s="217" t="s">
        <v>1035</v>
      </c>
      <c r="F376" s="217">
        <v>26876.58</v>
      </c>
      <c r="G376" s="217">
        <v>23916.7</v>
      </c>
      <c r="H376" s="218">
        <v>28700.04</v>
      </c>
      <c r="I376" s="219"/>
    </row>
    <row r="377" spans="1:10" hidden="1" x14ac:dyDescent="0.3">
      <c r="A377" s="211" t="s">
        <v>1036</v>
      </c>
      <c r="B377" s="211" t="s">
        <v>454</v>
      </c>
      <c r="C377" s="211" t="s">
        <v>1034</v>
      </c>
      <c r="D377" s="199"/>
      <c r="E377" s="217" t="s">
        <v>1037</v>
      </c>
      <c r="F377" s="217">
        <v>14852.84</v>
      </c>
      <c r="G377" s="217">
        <v>20333.3</v>
      </c>
      <c r="H377" s="218">
        <v>24399.96</v>
      </c>
      <c r="I377" s="219"/>
    </row>
    <row r="378" spans="1:10" hidden="1" x14ac:dyDescent="0.3">
      <c r="A378" s="211" t="s">
        <v>1038</v>
      </c>
      <c r="B378" s="211" t="s">
        <v>457</v>
      </c>
      <c r="C378" s="211" t="s">
        <v>1034</v>
      </c>
      <c r="D378" s="199"/>
      <c r="E378" s="217" t="s">
        <v>1039</v>
      </c>
      <c r="F378" s="217">
        <v>21472.880000000001</v>
      </c>
      <c r="G378" s="217">
        <v>21583.3</v>
      </c>
      <c r="H378" s="218">
        <v>25899.96</v>
      </c>
      <c r="I378" s="219"/>
    </row>
    <row r="379" spans="1:10" hidden="1" x14ac:dyDescent="0.3">
      <c r="A379" s="211" t="s">
        <v>1040</v>
      </c>
      <c r="B379" s="211" t="s">
        <v>460</v>
      </c>
      <c r="C379" s="211" t="s">
        <v>1034</v>
      </c>
      <c r="D379" s="199"/>
      <c r="E379" s="217" t="s">
        <v>1041</v>
      </c>
      <c r="F379" s="217">
        <v>11748.96</v>
      </c>
      <c r="G379" s="217">
        <v>13916.7</v>
      </c>
      <c r="H379" s="218">
        <v>16700.04</v>
      </c>
      <c r="I379" s="219"/>
    </row>
    <row r="380" spans="1:10" hidden="1" x14ac:dyDescent="0.3">
      <c r="A380" s="211" t="s">
        <v>1042</v>
      </c>
      <c r="B380" s="211" t="s">
        <v>402</v>
      </c>
      <c r="C380" s="211" t="s">
        <v>1034</v>
      </c>
      <c r="D380" s="199"/>
      <c r="E380" s="217" t="s">
        <v>1043</v>
      </c>
      <c r="F380" s="217">
        <v>6710.27</v>
      </c>
      <c r="G380" s="217">
        <v>5583.3</v>
      </c>
      <c r="H380" s="218">
        <v>6699.9600000000009</v>
      </c>
      <c r="I380" s="219"/>
    </row>
    <row r="381" spans="1:10" hidden="1" x14ac:dyDescent="0.3">
      <c r="A381" s="211" t="s">
        <v>1044</v>
      </c>
      <c r="B381" s="211" t="s">
        <v>465</v>
      </c>
      <c r="C381" s="211" t="s">
        <v>1034</v>
      </c>
      <c r="D381" s="199"/>
      <c r="E381" s="217" t="s">
        <v>1045</v>
      </c>
      <c r="F381" s="217">
        <v>7464.4</v>
      </c>
      <c r="G381" s="217">
        <v>0</v>
      </c>
      <c r="H381" s="218">
        <v>0</v>
      </c>
      <c r="I381" s="219"/>
    </row>
    <row r="382" spans="1:10" hidden="1" x14ac:dyDescent="0.3">
      <c r="A382" s="211" t="s">
        <v>1046</v>
      </c>
      <c r="B382" s="211" t="s">
        <v>468</v>
      </c>
      <c r="C382" s="211" t="s">
        <v>1034</v>
      </c>
      <c r="D382" s="199"/>
      <c r="E382" s="217" t="s">
        <v>1047</v>
      </c>
      <c r="F382" s="217">
        <v>10881.38</v>
      </c>
      <c r="G382" s="217">
        <v>10750</v>
      </c>
      <c r="H382" s="218">
        <v>12900</v>
      </c>
      <c r="I382" s="219"/>
    </row>
    <row r="383" spans="1:10" hidden="1" x14ac:dyDescent="0.3">
      <c r="A383" s="211" t="s">
        <v>1048</v>
      </c>
      <c r="B383" s="211" t="s">
        <v>465</v>
      </c>
      <c r="C383" s="211" t="s">
        <v>1049</v>
      </c>
      <c r="D383" s="199"/>
      <c r="E383" s="217" t="s">
        <v>1050</v>
      </c>
      <c r="F383" s="217">
        <v>128532.09</v>
      </c>
      <c r="G383" s="217">
        <v>134000</v>
      </c>
      <c r="H383" s="218">
        <v>160800</v>
      </c>
      <c r="I383" s="219"/>
    </row>
    <row r="384" spans="1:10" hidden="1" x14ac:dyDescent="0.3">
      <c r="A384" s="211" t="s">
        <v>1051</v>
      </c>
      <c r="B384" s="211" t="s">
        <v>473</v>
      </c>
      <c r="C384" s="211" t="s">
        <v>1049</v>
      </c>
      <c r="D384" s="199"/>
      <c r="E384" s="217" t="s">
        <v>1052</v>
      </c>
      <c r="F384" s="217">
        <v>28518.01</v>
      </c>
      <c r="G384" s="217">
        <v>31416.7</v>
      </c>
      <c r="H384" s="218">
        <v>37700.04</v>
      </c>
      <c r="I384" s="219"/>
    </row>
    <row r="385" spans="1:11" hidden="1" x14ac:dyDescent="0.3">
      <c r="A385" s="211" t="s">
        <v>1053</v>
      </c>
      <c r="B385" s="211" t="s">
        <v>247</v>
      </c>
      <c r="C385" s="211" t="s">
        <v>1049</v>
      </c>
      <c r="D385" s="199"/>
      <c r="E385" s="217" t="s">
        <v>1054</v>
      </c>
      <c r="F385" s="217">
        <v>6225.09</v>
      </c>
      <c r="G385" s="217">
        <v>6083.3</v>
      </c>
      <c r="H385" s="218">
        <v>7299.9600000000009</v>
      </c>
      <c r="I385" s="219"/>
    </row>
    <row r="386" spans="1:11" hidden="1" x14ac:dyDescent="0.3">
      <c r="A386" s="211" t="s">
        <v>1055</v>
      </c>
      <c r="B386" s="211" t="s">
        <v>480</v>
      </c>
      <c r="C386" s="211" t="s">
        <v>1049</v>
      </c>
      <c r="D386" s="199"/>
      <c r="E386" s="217" t="s">
        <v>1056</v>
      </c>
      <c r="F386" s="217">
        <v>16241.44</v>
      </c>
      <c r="G386" s="217">
        <v>20000</v>
      </c>
      <c r="H386" s="218">
        <v>24000</v>
      </c>
      <c r="I386" s="219"/>
    </row>
    <row r="387" spans="1:11" hidden="1" x14ac:dyDescent="0.3">
      <c r="A387" s="211" t="s">
        <v>1057</v>
      </c>
      <c r="B387" s="211" t="s">
        <v>422</v>
      </c>
      <c r="C387" s="211" t="s">
        <v>1034</v>
      </c>
      <c r="D387" s="199"/>
      <c r="E387" s="217" t="s">
        <v>1058</v>
      </c>
      <c r="F387" s="217">
        <v>11099.96</v>
      </c>
      <c r="G387" s="217">
        <v>9833.2999999999993</v>
      </c>
      <c r="H387" s="218">
        <v>11799.96</v>
      </c>
      <c r="I387" s="219"/>
    </row>
    <row r="388" spans="1:11" hidden="1" x14ac:dyDescent="0.3">
      <c r="A388" s="211" t="s">
        <v>1059</v>
      </c>
      <c r="B388" s="211" t="s">
        <v>485</v>
      </c>
      <c r="C388" s="211" t="s">
        <v>1049</v>
      </c>
      <c r="D388" s="199"/>
      <c r="E388" s="217" t="s">
        <v>1060</v>
      </c>
      <c r="F388" s="217">
        <v>9711.7999999999993</v>
      </c>
      <c r="G388" s="217">
        <v>10833.3</v>
      </c>
      <c r="H388" s="218">
        <v>12999.96</v>
      </c>
      <c r="I388" s="219"/>
    </row>
    <row r="389" spans="1:11" hidden="1" x14ac:dyDescent="0.3">
      <c r="A389" s="211" t="s">
        <v>1061</v>
      </c>
      <c r="B389" s="211" t="s">
        <v>465</v>
      </c>
      <c r="C389" s="211" t="s">
        <v>1049</v>
      </c>
      <c r="D389" s="199"/>
      <c r="E389" s="217" t="s">
        <v>1062</v>
      </c>
      <c r="F389" s="217">
        <v>18334.8</v>
      </c>
      <c r="G389" s="217">
        <v>21583.3</v>
      </c>
      <c r="H389" s="218">
        <v>25899.96</v>
      </c>
      <c r="I389" s="219"/>
      <c r="K389" s="226"/>
    </row>
    <row r="390" spans="1:11" hidden="1" x14ac:dyDescent="0.3">
      <c r="A390" s="211" t="s">
        <v>1063</v>
      </c>
      <c r="B390" s="211" t="s">
        <v>490</v>
      </c>
      <c r="C390" s="211" t="s">
        <v>1049</v>
      </c>
      <c r="D390" s="199"/>
      <c r="E390" s="217" t="s">
        <v>1064</v>
      </c>
      <c r="F390" s="217">
        <v>4878.6899999999996</v>
      </c>
      <c r="G390" s="217">
        <v>4166.7</v>
      </c>
      <c r="H390" s="218">
        <v>5000.0399999999991</v>
      </c>
      <c r="I390" s="219"/>
      <c r="K390" s="226"/>
    </row>
    <row r="391" spans="1:11" hidden="1" x14ac:dyDescent="0.3">
      <c r="A391" s="211" t="s">
        <v>1065</v>
      </c>
      <c r="B391" s="211" t="s">
        <v>280</v>
      </c>
      <c r="C391" s="211" t="s">
        <v>1049</v>
      </c>
      <c r="D391" s="199"/>
      <c r="E391" s="217" t="s">
        <v>1066</v>
      </c>
      <c r="F391" s="217">
        <v>3542.68</v>
      </c>
      <c r="G391" s="217">
        <v>3500</v>
      </c>
      <c r="H391" s="218">
        <v>4200</v>
      </c>
      <c r="I391" s="219"/>
      <c r="K391" s="226"/>
    </row>
    <row r="392" spans="1:11" hidden="1" x14ac:dyDescent="0.3">
      <c r="A392" s="211" t="s">
        <v>1067</v>
      </c>
      <c r="B392" s="211" t="s">
        <v>412</v>
      </c>
      <c r="C392" s="211" t="s">
        <v>1049</v>
      </c>
      <c r="D392" s="199"/>
      <c r="E392" s="217" t="s">
        <v>1068</v>
      </c>
      <c r="F392" s="217">
        <v>14161.54</v>
      </c>
      <c r="G392" s="217">
        <v>18416.7</v>
      </c>
      <c r="H392" s="218">
        <v>22100.04</v>
      </c>
      <c r="I392" s="219"/>
      <c r="K392" s="226"/>
    </row>
    <row r="393" spans="1:11" hidden="1" x14ac:dyDescent="0.3">
      <c r="A393" s="211" t="s">
        <v>1069</v>
      </c>
      <c r="B393" s="211" t="s">
        <v>497</v>
      </c>
      <c r="C393" s="211" t="s">
        <v>1070</v>
      </c>
      <c r="D393" s="199"/>
      <c r="E393" s="217" t="s">
        <v>1071</v>
      </c>
      <c r="F393" s="217">
        <v>11143.33</v>
      </c>
      <c r="G393" s="217">
        <v>11000</v>
      </c>
      <c r="H393" s="218">
        <v>13200</v>
      </c>
      <c r="I393" s="219"/>
      <c r="K393" s="226"/>
    </row>
    <row r="394" spans="1:11" hidden="1" x14ac:dyDescent="0.3">
      <c r="A394" s="211" t="s">
        <v>1072</v>
      </c>
      <c r="B394" s="211" t="s">
        <v>251</v>
      </c>
      <c r="C394" s="211" t="s">
        <v>1049</v>
      </c>
      <c r="D394" s="199"/>
      <c r="E394" s="217" t="s">
        <v>1073</v>
      </c>
      <c r="F394" s="217">
        <v>37386.300000000003</v>
      </c>
      <c r="G394" s="217">
        <v>41166.699999999997</v>
      </c>
      <c r="H394" s="218">
        <v>49400.04</v>
      </c>
      <c r="I394" s="219"/>
      <c r="K394" s="226"/>
    </row>
    <row r="395" spans="1:11" hidden="1" x14ac:dyDescent="0.3">
      <c r="A395" s="211" t="s">
        <v>1074</v>
      </c>
      <c r="B395" s="211" t="s">
        <v>257</v>
      </c>
      <c r="C395" s="211" t="s">
        <v>1049</v>
      </c>
      <c r="D395" s="199"/>
      <c r="E395" s="217" t="s">
        <v>1075</v>
      </c>
      <c r="F395" s="217">
        <v>3634.35</v>
      </c>
      <c r="G395" s="217">
        <v>0</v>
      </c>
      <c r="H395" s="218">
        <v>0</v>
      </c>
      <c r="I395" s="219"/>
      <c r="K395" s="226"/>
    </row>
    <row r="396" spans="1:11" hidden="1" x14ac:dyDescent="0.3">
      <c r="A396" s="211" t="s">
        <v>1076</v>
      </c>
      <c r="B396" s="211" t="s">
        <v>490</v>
      </c>
      <c r="C396" s="211" t="s">
        <v>1049</v>
      </c>
      <c r="D396" s="199"/>
      <c r="E396" s="217" t="s">
        <v>1077</v>
      </c>
      <c r="F396" s="217">
        <v>30920.37</v>
      </c>
      <c r="G396" s="217">
        <v>32833.300000000003</v>
      </c>
      <c r="H396" s="218">
        <v>39399.960000000006</v>
      </c>
      <c r="I396" s="219"/>
      <c r="K396" s="226"/>
    </row>
    <row r="397" spans="1:11" hidden="1" x14ac:dyDescent="0.3">
      <c r="A397" s="211" t="s">
        <v>1078</v>
      </c>
      <c r="B397" s="211" t="s">
        <v>508</v>
      </c>
      <c r="C397" s="211" t="s">
        <v>1049</v>
      </c>
      <c r="D397" s="199"/>
      <c r="E397" s="217" t="s">
        <v>1079</v>
      </c>
      <c r="F397" s="217">
        <v>3597.93</v>
      </c>
      <c r="G397" s="217">
        <v>3583.3</v>
      </c>
      <c r="H397" s="218">
        <v>4299.9600000000009</v>
      </c>
      <c r="I397" s="219"/>
      <c r="K397" s="226"/>
    </row>
    <row r="398" spans="1:11" hidden="1" x14ac:dyDescent="0.3">
      <c r="A398" s="211" t="s">
        <v>1080</v>
      </c>
      <c r="B398" s="211" t="s">
        <v>511</v>
      </c>
      <c r="C398" s="211" t="s">
        <v>1049</v>
      </c>
      <c r="D398" s="199"/>
      <c r="E398" s="217" t="s">
        <v>1081</v>
      </c>
      <c r="F398" s="217">
        <v>13704.01</v>
      </c>
      <c r="G398" s="217">
        <v>15666.7</v>
      </c>
      <c r="H398" s="218">
        <v>18800.04</v>
      </c>
      <c r="I398" s="219"/>
      <c r="K398" s="226"/>
    </row>
    <row r="399" spans="1:11" hidden="1" x14ac:dyDescent="0.3">
      <c r="A399" s="211" t="s">
        <v>1082</v>
      </c>
      <c r="B399" s="211" t="s">
        <v>425</v>
      </c>
      <c r="C399" s="211" t="s">
        <v>1049</v>
      </c>
      <c r="D399" s="199"/>
      <c r="E399" s="217" t="s">
        <v>1083</v>
      </c>
      <c r="F399" s="217">
        <v>3766.87</v>
      </c>
      <c r="G399" s="217">
        <v>0</v>
      </c>
      <c r="H399" s="218">
        <v>0</v>
      </c>
      <c r="I399" s="219"/>
      <c r="K399" s="226"/>
    </row>
    <row r="400" spans="1:11" hidden="1" x14ac:dyDescent="0.3">
      <c r="A400" s="211" t="s">
        <v>1084</v>
      </c>
      <c r="B400" s="211" t="s">
        <v>422</v>
      </c>
      <c r="C400" s="211" t="s">
        <v>1034</v>
      </c>
      <c r="D400" s="199"/>
      <c r="E400" s="217" t="s">
        <v>1085</v>
      </c>
      <c r="F400" s="217">
        <v>5000.47</v>
      </c>
      <c r="G400" s="217">
        <v>5583.3</v>
      </c>
      <c r="H400" s="218">
        <v>6699.9600000000009</v>
      </c>
      <c r="I400" s="219"/>
      <c r="K400" s="226"/>
    </row>
    <row r="401" spans="1:11" hidden="1" x14ac:dyDescent="0.3">
      <c r="A401" s="211" t="s">
        <v>1086</v>
      </c>
      <c r="B401" s="211" t="s">
        <v>465</v>
      </c>
      <c r="C401" s="211" t="s">
        <v>1049</v>
      </c>
      <c r="D401" s="199"/>
      <c r="E401" s="217" t="s">
        <v>1087</v>
      </c>
      <c r="F401" s="217">
        <v>17660.400000000001</v>
      </c>
      <c r="G401" s="217">
        <v>18083.3</v>
      </c>
      <c r="H401" s="218">
        <v>21699.96</v>
      </c>
      <c r="I401" s="219"/>
      <c r="K401" s="226"/>
    </row>
    <row r="402" spans="1:11" hidden="1" x14ac:dyDescent="0.3">
      <c r="A402" s="211" t="s">
        <v>1088</v>
      </c>
      <c r="B402" s="211" t="s">
        <v>490</v>
      </c>
      <c r="C402" s="211" t="s">
        <v>1049</v>
      </c>
      <c r="D402" s="199"/>
      <c r="E402" s="217" t="s">
        <v>1089</v>
      </c>
      <c r="F402" s="217">
        <v>7732.46</v>
      </c>
      <c r="G402" s="217">
        <v>5416.7</v>
      </c>
      <c r="H402" s="218">
        <v>6500.0399999999991</v>
      </c>
      <c r="I402" s="219"/>
      <c r="K402" s="226"/>
    </row>
    <row r="403" spans="1:11" hidden="1" x14ac:dyDescent="0.3">
      <c r="A403" s="211" t="s">
        <v>1090</v>
      </c>
      <c r="B403" s="211" t="s">
        <v>425</v>
      </c>
      <c r="C403" s="211" t="s">
        <v>1049</v>
      </c>
      <c r="D403" s="199"/>
      <c r="E403" s="217" t="s">
        <v>1091</v>
      </c>
      <c r="F403" s="217">
        <v>0</v>
      </c>
      <c r="G403" s="217">
        <v>3583.3</v>
      </c>
      <c r="H403" s="218">
        <v>4299.9600000000009</v>
      </c>
      <c r="I403" s="219"/>
      <c r="K403" s="226"/>
    </row>
    <row r="404" spans="1:11" hidden="1" x14ac:dyDescent="0.3">
      <c r="A404" s="211" t="s">
        <v>1092</v>
      </c>
      <c r="B404" s="211" t="s">
        <v>524</v>
      </c>
      <c r="C404" s="211" t="s">
        <v>1034</v>
      </c>
      <c r="D404" s="199"/>
      <c r="E404" s="217" t="s">
        <v>1093</v>
      </c>
      <c r="F404" s="217">
        <v>26178.61</v>
      </c>
      <c r="G404" s="217">
        <v>27166.7</v>
      </c>
      <c r="H404" s="218">
        <v>32600.04</v>
      </c>
      <c r="I404" s="219"/>
      <c r="K404" s="226"/>
    </row>
    <row r="405" spans="1:11" hidden="1" x14ac:dyDescent="0.3">
      <c r="A405" s="211" t="s">
        <v>1094</v>
      </c>
      <c r="B405" s="211" t="s">
        <v>422</v>
      </c>
      <c r="C405" s="211" t="s">
        <v>1034</v>
      </c>
      <c r="D405" s="199"/>
      <c r="E405" s="217" t="s">
        <v>1095</v>
      </c>
      <c r="F405" s="217">
        <v>10018.58</v>
      </c>
      <c r="G405" s="217">
        <v>10333.299999999999</v>
      </c>
      <c r="H405" s="218">
        <v>12399.96</v>
      </c>
      <c r="I405" s="219"/>
      <c r="K405" s="226"/>
    </row>
    <row r="406" spans="1:11" hidden="1" x14ac:dyDescent="0.3">
      <c r="A406" s="211" t="s">
        <v>1096</v>
      </c>
      <c r="B406" s="211" t="s">
        <v>280</v>
      </c>
      <c r="C406" s="211" t="s">
        <v>1049</v>
      </c>
      <c r="D406" s="199"/>
      <c r="E406" s="217" t="s">
        <v>1097</v>
      </c>
      <c r="F406" s="217">
        <v>22952.69</v>
      </c>
      <c r="G406" s="217">
        <v>27500</v>
      </c>
      <c r="H406" s="218">
        <v>33000</v>
      </c>
      <c r="I406" s="219"/>
      <c r="K406" s="226"/>
    </row>
    <row r="407" spans="1:11" hidden="1" x14ac:dyDescent="0.3">
      <c r="A407" s="211" t="s">
        <v>1098</v>
      </c>
      <c r="B407" s="211" t="s">
        <v>303</v>
      </c>
      <c r="C407" s="211" t="s">
        <v>1049</v>
      </c>
      <c r="D407" s="199"/>
      <c r="E407" s="217" t="s">
        <v>1099</v>
      </c>
      <c r="F407" s="217">
        <v>3631.87</v>
      </c>
      <c r="G407" s="217">
        <v>3583.3</v>
      </c>
      <c r="H407" s="218">
        <v>4299.9600000000009</v>
      </c>
      <c r="I407" s="219"/>
      <c r="K407" s="226"/>
    </row>
    <row r="408" spans="1:11" hidden="1" x14ac:dyDescent="0.3">
      <c r="A408" s="211" t="s">
        <v>1100</v>
      </c>
      <c r="B408" s="211" t="s">
        <v>280</v>
      </c>
      <c r="C408" s="211" t="s">
        <v>1049</v>
      </c>
      <c r="D408" s="199"/>
      <c r="E408" s="217" t="s">
        <v>1101</v>
      </c>
      <c r="F408" s="217">
        <v>16624.8</v>
      </c>
      <c r="G408" s="217">
        <v>19500</v>
      </c>
      <c r="H408" s="218">
        <v>23400</v>
      </c>
      <c r="I408" s="219"/>
      <c r="K408" s="226"/>
    </row>
    <row r="409" spans="1:11" hidden="1" x14ac:dyDescent="0.3">
      <c r="A409" s="211" t="s">
        <v>1102</v>
      </c>
      <c r="B409" s="211" t="s">
        <v>280</v>
      </c>
      <c r="C409" s="211" t="s">
        <v>1049</v>
      </c>
      <c r="D409" s="199"/>
      <c r="E409" s="217" t="s">
        <v>1103</v>
      </c>
      <c r="F409" s="217">
        <v>3718.77</v>
      </c>
      <c r="G409" s="217">
        <v>3583.3</v>
      </c>
      <c r="H409" s="218">
        <v>4299.9600000000009</v>
      </c>
      <c r="I409" s="219"/>
      <c r="K409" s="226"/>
    </row>
    <row r="410" spans="1:11" hidden="1" x14ac:dyDescent="0.3">
      <c r="A410" s="211" t="s">
        <v>1104</v>
      </c>
      <c r="B410" s="211" t="s">
        <v>280</v>
      </c>
      <c r="C410" s="211" t="s">
        <v>1049</v>
      </c>
      <c r="D410" s="199"/>
      <c r="E410" s="217" t="s">
        <v>1105</v>
      </c>
      <c r="F410" s="217">
        <v>8899.9699999999993</v>
      </c>
      <c r="G410" s="217">
        <v>10333.299999999999</v>
      </c>
      <c r="H410" s="218">
        <v>12399.96</v>
      </c>
      <c r="I410" s="219"/>
      <c r="K410" s="226"/>
    </row>
    <row r="411" spans="1:11" hidden="1" x14ac:dyDescent="0.3">
      <c r="A411" s="211" t="s">
        <v>1106</v>
      </c>
      <c r="B411" s="211" t="s">
        <v>280</v>
      </c>
      <c r="C411" s="211" t="s">
        <v>1049</v>
      </c>
      <c r="D411" s="199"/>
      <c r="E411" s="217" t="s">
        <v>1107</v>
      </c>
      <c r="F411" s="217">
        <v>41321.94</v>
      </c>
      <c r="G411" s="217">
        <v>44166.7</v>
      </c>
      <c r="H411" s="218">
        <v>53000.04</v>
      </c>
      <c r="I411" s="219"/>
      <c r="K411" s="226"/>
    </row>
    <row r="412" spans="1:11" hidden="1" x14ac:dyDescent="0.3">
      <c r="A412" s="211" t="s">
        <v>1108</v>
      </c>
      <c r="B412" s="211" t="s">
        <v>280</v>
      </c>
      <c r="C412" s="211" t="s">
        <v>1049</v>
      </c>
      <c r="D412" s="199"/>
      <c r="E412" s="217" t="s">
        <v>1109</v>
      </c>
      <c r="F412" s="217">
        <v>41332.06</v>
      </c>
      <c r="G412" s="217">
        <v>41500</v>
      </c>
      <c r="H412" s="218">
        <v>49800</v>
      </c>
      <c r="I412" s="219"/>
      <c r="K412" s="226"/>
    </row>
    <row r="413" spans="1:11" hidden="1" x14ac:dyDescent="0.3">
      <c r="A413" s="211" t="s">
        <v>1110</v>
      </c>
      <c r="B413" s="211" t="s">
        <v>280</v>
      </c>
      <c r="C413" s="211" t="s">
        <v>1049</v>
      </c>
      <c r="D413" s="199"/>
      <c r="E413" s="217" t="s">
        <v>1111</v>
      </c>
      <c r="F413" s="217">
        <v>108.09</v>
      </c>
      <c r="G413" s="217">
        <v>0</v>
      </c>
      <c r="H413" s="218">
        <v>0</v>
      </c>
      <c r="I413" s="219"/>
      <c r="K413" s="226"/>
    </row>
    <row r="414" spans="1:11" hidden="1" x14ac:dyDescent="0.3">
      <c r="A414" s="211" t="s">
        <v>1112</v>
      </c>
      <c r="B414" s="211" t="s">
        <v>280</v>
      </c>
      <c r="C414" s="211" t="s">
        <v>1049</v>
      </c>
      <c r="D414" s="199"/>
      <c r="E414" s="217" t="s">
        <v>1113</v>
      </c>
      <c r="F414" s="217">
        <v>42993.51</v>
      </c>
      <c r="G414" s="217">
        <v>43666.7</v>
      </c>
      <c r="H414" s="218">
        <v>52400.04</v>
      </c>
      <c r="I414" s="219"/>
      <c r="K414" s="226"/>
    </row>
    <row r="415" spans="1:11" hidden="1" x14ac:dyDescent="0.3">
      <c r="A415" s="211" t="s">
        <v>1114</v>
      </c>
      <c r="B415" s="211" t="s">
        <v>280</v>
      </c>
      <c r="C415" s="211" t="s">
        <v>1049</v>
      </c>
      <c r="D415" s="199"/>
      <c r="E415" s="217" t="s">
        <v>1115</v>
      </c>
      <c r="F415" s="217">
        <v>7501.05</v>
      </c>
      <c r="G415" s="217">
        <v>9166.7000000000007</v>
      </c>
      <c r="H415" s="218">
        <v>11000.04</v>
      </c>
      <c r="I415" s="219"/>
      <c r="K415" s="226"/>
    </row>
    <row r="416" spans="1:11" hidden="1" x14ac:dyDescent="0.3">
      <c r="A416" s="211" t="s">
        <v>1116</v>
      </c>
      <c r="B416" s="211" t="s">
        <v>283</v>
      </c>
      <c r="C416" s="211" t="s">
        <v>1049</v>
      </c>
      <c r="D416" s="199"/>
      <c r="E416" s="217" t="s">
        <v>1117</v>
      </c>
      <c r="F416" s="217">
        <v>33085.800000000003</v>
      </c>
      <c r="G416" s="217">
        <v>35250</v>
      </c>
      <c r="H416" s="218">
        <v>42300</v>
      </c>
      <c r="I416" s="219"/>
      <c r="K416" s="226"/>
    </row>
    <row r="417" spans="1:11" hidden="1" x14ac:dyDescent="0.3">
      <c r="A417" s="211" t="s">
        <v>1118</v>
      </c>
      <c r="B417" s="211" t="s">
        <v>287</v>
      </c>
      <c r="C417" s="211" t="s">
        <v>1119</v>
      </c>
      <c r="D417" s="199"/>
      <c r="E417" s="217" t="s">
        <v>1120</v>
      </c>
      <c r="F417" s="217">
        <v>31924.27</v>
      </c>
      <c r="G417" s="217">
        <v>31666.7</v>
      </c>
      <c r="H417" s="218">
        <v>38000.04</v>
      </c>
      <c r="I417" s="219"/>
      <c r="K417" s="226"/>
    </row>
    <row r="418" spans="1:11" hidden="1" x14ac:dyDescent="0.3">
      <c r="A418" s="211" t="s">
        <v>1121</v>
      </c>
      <c r="B418" s="211" t="s">
        <v>306</v>
      </c>
      <c r="C418" s="211" t="s">
        <v>1049</v>
      </c>
      <c r="D418" s="199"/>
      <c r="E418" s="217" t="s">
        <v>1122</v>
      </c>
      <c r="F418" s="217">
        <v>71.39</v>
      </c>
      <c r="G418" s="217">
        <v>0</v>
      </c>
      <c r="H418" s="218">
        <v>0</v>
      </c>
      <c r="I418" s="219"/>
      <c r="K418" s="226"/>
    </row>
    <row r="419" spans="1:11" hidden="1" x14ac:dyDescent="0.3">
      <c r="A419" s="211" t="s">
        <v>1123</v>
      </c>
      <c r="B419" s="211" t="s">
        <v>412</v>
      </c>
      <c r="C419" s="211" t="s">
        <v>1070</v>
      </c>
      <c r="D419" s="199"/>
      <c r="E419" s="217" t="s">
        <v>1124</v>
      </c>
      <c r="F419" s="217">
        <v>21061.599999999999</v>
      </c>
      <c r="G419" s="217">
        <v>21916.7</v>
      </c>
      <c r="H419" s="218">
        <v>26300.04</v>
      </c>
      <c r="I419" s="219"/>
      <c r="K419" s="226"/>
    </row>
    <row r="420" spans="1:11" hidden="1" x14ac:dyDescent="0.3">
      <c r="A420" s="211" t="s">
        <v>1125</v>
      </c>
      <c r="B420" s="211" t="s">
        <v>412</v>
      </c>
      <c r="C420" s="211" t="s">
        <v>1049</v>
      </c>
      <c r="D420" s="199"/>
      <c r="E420" s="217" t="s">
        <v>1126</v>
      </c>
      <c r="F420" s="217">
        <v>31183.72</v>
      </c>
      <c r="G420" s="217">
        <v>34916.699999999997</v>
      </c>
      <c r="H420" s="218">
        <v>41900.039999999994</v>
      </c>
      <c r="I420" s="219"/>
      <c r="K420" s="226"/>
    </row>
    <row r="421" spans="1:11" hidden="1" x14ac:dyDescent="0.3">
      <c r="A421" s="211" t="s">
        <v>1127</v>
      </c>
      <c r="B421" s="211" t="s">
        <v>412</v>
      </c>
      <c r="C421" s="211" t="s">
        <v>1049</v>
      </c>
      <c r="D421" s="199"/>
      <c r="E421" s="217" t="s">
        <v>1128</v>
      </c>
      <c r="F421" s="217">
        <v>14244.17</v>
      </c>
      <c r="G421" s="217">
        <v>16750</v>
      </c>
      <c r="H421" s="218">
        <v>20100</v>
      </c>
      <c r="I421" s="219"/>
      <c r="K421" s="226"/>
    </row>
    <row r="422" spans="1:11" hidden="1" x14ac:dyDescent="0.3">
      <c r="A422" s="211" t="s">
        <v>1129</v>
      </c>
      <c r="B422" s="211" t="s">
        <v>412</v>
      </c>
      <c r="C422" s="211" t="s">
        <v>1049</v>
      </c>
      <c r="D422" s="199"/>
      <c r="E422" s="217" t="s">
        <v>1130</v>
      </c>
      <c r="F422" s="217">
        <v>47670.7</v>
      </c>
      <c r="G422" s="217">
        <v>53333.3</v>
      </c>
      <c r="H422" s="218">
        <v>63999.96</v>
      </c>
      <c r="I422" s="219"/>
      <c r="K422" s="226"/>
    </row>
    <row r="423" spans="1:11" hidden="1" x14ac:dyDescent="0.3">
      <c r="A423" s="211" t="s">
        <v>1131</v>
      </c>
      <c r="B423" s="211" t="s">
        <v>306</v>
      </c>
      <c r="C423" s="211" t="s">
        <v>1049</v>
      </c>
      <c r="D423" s="199"/>
      <c r="E423" s="217" t="s">
        <v>1132</v>
      </c>
      <c r="F423" s="217">
        <v>811.84</v>
      </c>
      <c r="G423" s="217">
        <v>0</v>
      </c>
      <c r="H423" s="218">
        <v>0</v>
      </c>
      <c r="I423" s="219"/>
      <c r="K423" s="226"/>
    </row>
    <row r="424" spans="1:11" hidden="1" x14ac:dyDescent="0.3">
      <c r="A424" s="211" t="s">
        <v>1133</v>
      </c>
      <c r="B424" s="211" t="s">
        <v>558</v>
      </c>
      <c r="C424" s="211" t="s">
        <v>1049</v>
      </c>
      <c r="D424" s="199"/>
      <c r="E424" s="217" t="s">
        <v>1134</v>
      </c>
      <c r="F424" s="217">
        <v>31381.29</v>
      </c>
      <c r="G424" s="217">
        <v>33500</v>
      </c>
      <c r="H424" s="218">
        <v>40200</v>
      </c>
      <c r="I424" s="219"/>
      <c r="K424" s="226"/>
    </row>
    <row r="425" spans="1:11" hidden="1" x14ac:dyDescent="0.3">
      <c r="A425" s="211" t="s">
        <v>1135</v>
      </c>
      <c r="B425" s="211" t="s">
        <v>561</v>
      </c>
      <c r="C425" s="211" t="s">
        <v>1049</v>
      </c>
      <c r="D425" s="199"/>
      <c r="E425" s="217" t="s">
        <v>1136</v>
      </c>
      <c r="F425" s="217">
        <v>9752.57</v>
      </c>
      <c r="G425" s="217">
        <v>10000</v>
      </c>
      <c r="H425" s="218">
        <v>12000</v>
      </c>
      <c r="I425" s="219"/>
      <c r="K425" s="226"/>
    </row>
    <row r="426" spans="1:11" hidden="1" x14ac:dyDescent="0.3">
      <c r="A426" s="211" t="s">
        <v>1137</v>
      </c>
      <c r="B426" s="211" t="s">
        <v>290</v>
      </c>
      <c r="C426" s="211" t="s">
        <v>1070</v>
      </c>
      <c r="D426" s="199"/>
      <c r="E426" s="217" t="s">
        <v>1138</v>
      </c>
      <c r="F426" s="217">
        <v>8495.4599999999991</v>
      </c>
      <c r="G426" s="217">
        <v>8416.7000000000007</v>
      </c>
      <c r="H426" s="218">
        <v>10100.040000000001</v>
      </c>
      <c r="I426" s="219"/>
      <c r="K426" s="226"/>
    </row>
    <row r="427" spans="1:11" hidden="1" x14ac:dyDescent="0.3">
      <c r="A427" s="211" t="s">
        <v>1139</v>
      </c>
      <c r="B427" s="211" t="s">
        <v>412</v>
      </c>
      <c r="C427" s="211" t="s">
        <v>1049</v>
      </c>
      <c r="D427" s="199"/>
      <c r="E427" s="217" t="s">
        <v>1140</v>
      </c>
      <c r="F427" s="217">
        <v>10038.620000000001</v>
      </c>
      <c r="G427" s="217">
        <v>0</v>
      </c>
      <c r="H427" s="218">
        <v>0</v>
      </c>
      <c r="I427" s="219"/>
      <c r="K427" s="226"/>
    </row>
    <row r="428" spans="1:11" hidden="1" x14ac:dyDescent="0.3">
      <c r="A428" s="211" t="s">
        <v>1141</v>
      </c>
      <c r="B428" s="211" t="s">
        <v>293</v>
      </c>
      <c r="C428" s="211" t="s">
        <v>1034</v>
      </c>
      <c r="D428" s="199"/>
      <c r="E428" s="217" t="s">
        <v>1142</v>
      </c>
      <c r="F428" s="217">
        <v>6172.69</v>
      </c>
      <c r="G428" s="217">
        <v>7916.7</v>
      </c>
      <c r="H428" s="218">
        <v>9500.0399999999991</v>
      </c>
      <c r="I428" s="219"/>
      <c r="K428" s="226"/>
    </row>
    <row r="429" spans="1:11" hidden="1" x14ac:dyDescent="0.3">
      <c r="A429" s="211" t="s">
        <v>1143</v>
      </c>
      <c r="B429" s="211" t="s">
        <v>422</v>
      </c>
      <c r="C429" s="211" t="s">
        <v>1144</v>
      </c>
      <c r="D429" s="199"/>
      <c r="E429" s="217" t="s">
        <v>1145</v>
      </c>
      <c r="F429" s="217">
        <v>5984.64</v>
      </c>
      <c r="G429" s="217">
        <v>0</v>
      </c>
      <c r="H429" s="218">
        <v>0</v>
      </c>
      <c r="I429" s="219"/>
      <c r="K429" s="226"/>
    </row>
    <row r="430" spans="1:11" hidden="1" x14ac:dyDescent="0.3">
      <c r="A430" s="211" t="s">
        <v>1146</v>
      </c>
      <c r="B430" s="211" t="s">
        <v>457</v>
      </c>
      <c r="C430" s="211" t="s">
        <v>1144</v>
      </c>
      <c r="D430" s="199"/>
      <c r="E430" s="217" t="s">
        <v>1147</v>
      </c>
      <c r="F430" s="217">
        <v>402172.86</v>
      </c>
      <c r="G430" s="217">
        <v>559250</v>
      </c>
      <c r="H430" s="218">
        <v>671100</v>
      </c>
      <c r="I430" s="219"/>
      <c r="K430" s="226"/>
    </row>
    <row r="431" spans="1:11" hidden="1" x14ac:dyDescent="0.3">
      <c r="A431" s="211" t="s">
        <v>1148</v>
      </c>
      <c r="B431" s="211" t="s">
        <v>402</v>
      </c>
      <c r="C431" s="211" t="s">
        <v>1144</v>
      </c>
      <c r="D431" s="199"/>
      <c r="E431" s="217" t="s">
        <v>1149</v>
      </c>
      <c r="F431" s="217">
        <v>2433.41</v>
      </c>
      <c r="G431" s="217">
        <v>2833.3</v>
      </c>
      <c r="H431" s="218">
        <v>3399.9600000000005</v>
      </c>
      <c r="I431" s="219"/>
      <c r="K431" s="226"/>
    </row>
    <row r="432" spans="1:11" hidden="1" x14ac:dyDescent="0.3">
      <c r="A432" s="211" t="s">
        <v>1150</v>
      </c>
      <c r="B432" s="211" t="s">
        <v>465</v>
      </c>
      <c r="C432" s="211" t="s">
        <v>1144</v>
      </c>
      <c r="D432" s="199"/>
      <c r="E432" s="217" t="s">
        <v>1151</v>
      </c>
      <c r="F432" s="217">
        <v>696.27</v>
      </c>
      <c r="G432" s="217">
        <v>0</v>
      </c>
      <c r="H432" s="218">
        <v>0</v>
      </c>
      <c r="I432" s="219"/>
      <c r="K432" s="226"/>
    </row>
    <row r="433" spans="1:11" hidden="1" x14ac:dyDescent="0.3">
      <c r="A433" s="211" t="s">
        <v>1152</v>
      </c>
      <c r="B433" s="211" t="s">
        <v>473</v>
      </c>
      <c r="C433" s="211" t="s">
        <v>1153</v>
      </c>
      <c r="D433" s="199"/>
      <c r="E433" s="217" t="s">
        <v>1154</v>
      </c>
      <c r="F433" s="217">
        <v>4386.2</v>
      </c>
      <c r="G433" s="217">
        <v>0</v>
      </c>
      <c r="H433" s="218">
        <v>0</v>
      </c>
      <c r="I433" s="219"/>
      <c r="K433" s="226"/>
    </row>
    <row r="434" spans="1:11" hidden="1" x14ac:dyDescent="0.3">
      <c r="A434" s="211" t="s">
        <v>1155</v>
      </c>
      <c r="B434" s="211" t="s">
        <v>247</v>
      </c>
      <c r="C434" s="211" t="s">
        <v>1153</v>
      </c>
      <c r="D434" s="199"/>
      <c r="E434" s="217" t="s">
        <v>1156</v>
      </c>
      <c r="F434" s="217">
        <v>1188.54</v>
      </c>
      <c r="G434" s="217">
        <v>2833.3</v>
      </c>
      <c r="H434" s="218">
        <v>3399.9600000000005</v>
      </c>
      <c r="I434" s="219"/>
      <c r="K434" s="226"/>
    </row>
    <row r="435" spans="1:11" hidden="1" x14ac:dyDescent="0.3">
      <c r="A435" s="211" t="s">
        <v>1157</v>
      </c>
      <c r="B435" s="211" t="s">
        <v>251</v>
      </c>
      <c r="C435" s="211" t="s">
        <v>1153</v>
      </c>
      <c r="D435" s="199"/>
      <c r="E435" s="217" t="s">
        <v>1158</v>
      </c>
      <c r="F435" s="217">
        <v>17033.87</v>
      </c>
      <c r="G435" s="217">
        <v>28250</v>
      </c>
      <c r="H435" s="218">
        <v>33900</v>
      </c>
      <c r="I435" s="219"/>
      <c r="K435" s="226"/>
    </row>
    <row r="436" spans="1:11" hidden="1" x14ac:dyDescent="0.3">
      <c r="A436" s="211" t="s">
        <v>1159</v>
      </c>
      <c r="B436" s="211" t="s">
        <v>303</v>
      </c>
      <c r="C436" s="211" t="s">
        <v>1153</v>
      </c>
      <c r="D436" s="199"/>
      <c r="E436" s="217" t="s">
        <v>1160</v>
      </c>
      <c r="F436" s="217">
        <v>0</v>
      </c>
      <c r="G436" s="217">
        <v>2833.3</v>
      </c>
      <c r="H436" s="218">
        <v>3399.9600000000005</v>
      </c>
      <c r="I436" s="219"/>
      <c r="K436" s="226"/>
    </row>
    <row r="437" spans="1:11" hidden="1" x14ac:dyDescent="0.3">
      <c r="A437" s="211" t="s">
        <v>1161</v>
      </c>
      <c r="B437" s="211" t="s">
        <v>280</v>
      </c>
      <c r="C437" s="211" t="s">
        <v>1153</v>
      </c>
      <c r="D437" s="199"/>
      <c r="E437" s="217" t="s">
        <v>1162</v>
      </c>
      <c r="F437" s="217">
        <v>7300.23</v>
      </c>
      <c r="G437" s="217">
        <v>11333.3</v>
      </c>
      <c r="H437" s="218">
        <v>13599.96</v>
      </c>
      <c r="I437" s="219"/>
      <c r="K437" s="226"/>
    </row>
    <row r="438" spans="1:11" hidden="1" x14ac:dyDescent="0.3">
      <c r="A438" s="211" t="s">
        <v>1163</v>
      </c>
      <c r="B438" s="211" t="s">
        <v>283</v>
      </c>
      <c r="C438" s="211" t="s">
        <v>1153</v>
      </c>
      <c r="D438" s="199"/>
      <c r="E438" s="217" t="s">
        <v>1164</v>
      </c>
      <c r="F438" s="217">
        <v>15197.27</v>
      </c>
      <c r="G438" s="217">
        <v>25416.7</v>
      </c>
      <c r="H438" s="218">
        <v>30500.04</v>
      </c>
      <c r="I438" s="219"/>
      <c r="K438" s="226"/>
    </row>
    <row r="439" spans="1:11" hidden="1" x14ac:dyDescent="0.3">
      <c r="A439" s="211" t="s">
        <v>1165</v>
      </c>
      <c r="B439" s="211" t="s">
        <v>287</v>
      </c>
      <c r="C439" s="211" t="s">
        <v>1153</v>
      </c>
      <c r="D439" s="199"/>
      <c r="E439" s="217" t="s">
        <v>1166</v>
      </c>
      <c r="F439" s="217">
        <v>10033.68</v>
      </c>
      <c r="G439" s="217">
        <v>22583.3</v>
      </c>
      <c r="H439" s="218">
        <v>27099.96</v>
      </c>
      <c r="I439" s="219"/>
      <c r="K439" s="226"/>
    </row>
    <row r="440" spans="1:11" hidden="1" x14ac:dyDescent="0.3">
      <c r="A440" s="211" t="s">
        <v>1167</v>
      </c>
      <c r="B440" s="211" t="s">
        <v>290</v>
      </c>
      <c r="C440" s="211" t="s">
        <v>1168</v>
      </c>
      <c r="D440" s="199"/>
      <c r="E440" s="217" t="s">
        <v>1169</v>
      </c>
      <c r="F440" s="217">
        <v>2433.41</v>
      </c>
      <c r="G440" s="217">
        <v>5666.7</v>
      </c>
      <c r="H440" s="218">
        <v>6800.0399999999991</v>
      </c>
      <c r="I440" s="219"/>
      <c r="K440" s="226"/>
    </row>
    <row r="441" spans="1:11" hidden="1" x14ac:dyDescent="0.3">
      <c r="A441" s="211" t="s">
        <v>1170</v>
      </c>
      <c r="B441" s="211" t="s">
        <v>293</v>
      </c>
      <c r="C441" s="211" t="s">
        <v>1144</v>
      </c>
      <c r="D441" s="199"/>
      <c r="E441" s="217" t="s">
        <v>1171</v>
      </c>
      <c r="F441" s="217">
        <v>3277.36</v>
      </c>
      <c r="G441" s="217">
        <v>5666.7</v>
      </c>
      <c r="H441" s="218">
        <v>6800.0399999999991</v>
      </c>
      <c r="I441" s="219"/>
      <c r="K441" s="226"/>
    </row>
    <row r="442" spans="1:11" hidden="1" x14ac:dyDescent="0.3">
      <c r="A442" s="211" t="s">
        <v>1172</v>
      </c>
      <c r="B442" s="211" t="s">
        <v>457</v>
      </c>
      <c r="C442" s="211" t="s">
        <v>1173</v>
      </c>
      <c r="D442" s="199"/>
      <c r="E442" s="217" t="s">
        <v>1174</v>
      </c>
      <c r="F442" s="217">
        <v>312044.71999999997</v>
      </c>
      <c r="G442" s="217">
        <v>293583.3</v>
      </c>
      <c r="H442" s="218">
        <v>352299.95999999996</v>
      </c>
      <c r="I442" s="219"/>
      <c r="K442" s="226"/>
    </row>
    <row r="443" spans="1:11" hidden="1" x14ac:dyDescent="0.3">
      <c r="A443" s="211" t="s">
        <v>1175</v>
      </c>
      <c r="B443" s="211" t="s">
        <v>402</v>
      </c>
      <c r="C443" s="211" t="s">
        <v>1173</v>
      </c>
      <c r="D443" s="199"/>
      <c r="E443" s="217" t="s">
        <v>1176</v>
      </c>
      <c r="F443" s="217">
        <v>2232.7199999999998</v>
      </c>
      <c r="G443" s="217">
        <v>1500</v>
      </c>
      <c r="H443" s="218">
        <v>1800</v>
      </c>
      <c r="I443" s="219"/>
      <c r="K443" s="226"/>
    </row>
    <row r="444" spans="1:11" hidden="1" x14ac:dyDescent="0.3">
      <c r="A444" s="211" t="s">
        <v>1177</v>
      </c>
      <c r="B444" s="211" t="s">
        <v>465</v>
      </c>
      <c r="C444" s="211" t="s">
        <v>1173</v>
      </c>
      <c r="D444" s="199"/>
      <c r="E444" s="217" t="s">
        <v>1178</v>
      </c>
      <c r="F444" s="217">
        <v>212.9</v>
      </c>
      <c r="G444" s="217">
        <v>0</v>
      </c>
      <c r="H444" s="218">
        <v>0</v>
      </c>
      <c r="I444" s="219"/>
      <c r="K444" s="226"/>
    </row>
    <row r="445" spans="1:11" hidden="1" x14ac:dyDescent="0.3">
      <c r="A445" s="211" t="s">
        <v>1179</v>
      </c>
      <c r="B445" s="211" t="s">
        <v>247</v>
      </c>
      <c r="C445" s="211" t="s">
        <v>1180</v>
      </c>
      <c r="D445" s="199"/>
      <c r="E445" s="217" t="s">
        <v>1181</v>
      </c>
      <c r="F445" s="217">
        <v>1659.52</v>
      </c>
      <c r="G445" s="217">
        <v>1500</v>
      </c>
      <c r="H445" s="218">
        <v>1800</v>
      </c>
      <c r="I445" s="219"/>
      <c r="K445" s="226"/>
    </row>
    <row r="446" spans="1:11" hidden="1" x14ac:dyDescent="0.3">
      <c r="A446" s="211" t="s">
        <v>1182</v>
      </c>
      <c r="B446" s="211" t="s">
        <v>251</v>
      </c>
      <c r="C446" s="211" t="s">
        <v>1180</v>
      </c>
      <c r="D446" s="199"/>
      <c r="E446" s="217" t="s">
        <v>1183</v>
      </c>
      <c r="F446" s="217">
        <v>11704.89</v>
      </c>
      <c r="G446" s="217">
        <v>14833.3</v>
      </c>
      <c r="H446" s="218">
        <v>17799.96</v>
      </c>
      <c r="I446" s="219"/>
      <c r="K446" s="226"/>
    </row>
    <row r="447" spans="1:11" hidden="1" x14ac:dyDescent="0.3">
      <c r="A447" s="211" t="s">
        <v>1184</v>
      </c>
      <c r="B447" s="211" t="s">
        <v>303</v>
      </c>
      <c r="C447" s="211" t="s">
        <v>1180</v>
      </c>
      <c r="D447" s="199"/>
      <c r="E447" s="217" t="s">
        <v>1185</v>
      </c>
      <c r="F447" s="217">
        <v>0</v>
      </c>
      <c r="G447" s="217">
        <v>1500</v>
      </c>
      <c r="H447" s="218">
        <v>1800</v>
      </c>
      <c r="I447" s="219"/>
      <c r="K447" s="226"/>
    </row>
    <row r="448" spans="1:11" hidden="1" x14ac:dyDescent="0.3">
      <c r="A448" s="211" t="s">
        <v>1186</v>
      </c>
      <c r="B448" s="211" t="s">
        <v>280</v>
      </c>
      <c r="C448" s="211" t="s">
        <v>1180</v>
      </c>
      <c r="D448" s="199"/>
      <c r="E448" s="217" t="s">
        <v>1187</v>
      </c>
      <c r="F448" s="217">
        <v>4981.68</v>
      </c>
      <c r="G448" s="217">
        <v>5916.7</v>
      </c>
      <c r="H448" s="218">
        <v>7100.0399999999991</v>
      </c>
      <c r="I448" s="219"/>
      <c r="K448" s="226"/>
    </row>
    <row r="449" spans="1:11" hidden="1" x14ac:dyDescent="0.3">
      <c r="A449" s="211" t="s">
        <v>1188</v>
      </c>
      <c r="B449" s="211" t="s">
        <v>283</v>
      </c>
      <c r="C449" s="211" t="s">
        <v>1180</v>
      </c>
      <c r="D449" s="199"/>
      <c r="E449" s="217" t="s">
        <v>1189</v>
      </c>
      <c r="F449" s="217">
        <v>10738.42</v>
      </c>
      <c r="G449" s="217">
        <v>13333.3</v>
      </c>
      <c r="H449" s="218">
        <v>15999.96</v>
      </c>
      <c r="I449" s="219"/>
      <c r="K449" s="226"/>
    </row>
    <row r="450" spans="1:11" hidden="1" x14ac:dyDescent="0.3">
      <c r="A450" s="211" t="s">
        <v>1190</v>
      </c>
      <c r="B450" s="211" t="s">
        <v>287</v>
      </c>
      <c r="C450" s="211" t="s">
        <v>1180</v>
      </c>
      <c r="D450" s="199"/>
      <c r="E450" s="217" t="s">
        <v>1191</v>
      </c>
      <c r="F450" s="217">
        <v>6204.98</v>
      </c>
      <c r="G450" s="217">
        <v>11833.3</v>
      </c>
      <c r="H450" s="218">
        <v>14199.96</v>
      </c>
      <c r="I450" s="219"/>
      <c r="K450" s="226"/>
    </row>
    <row r="451" spans="1:11" hidden="1" x14ac:dyDescent="0.3">
      <c r="A451" s="211" t="s">
        <v>1192</v>
      </c>
      <c r="B451" s="211" t="s">
        <v>290</v>
      </c>
      <c r="C451" s="211" t="s">
        <v>1193</v>
      </c>
      <c r="D451" s="199"/>
      <c r="E451" s="217" t="s">
        <v>1194</v>
      </c>
      <c r="F451" s="217">
        <v>1491.97</v>
      </c>
      <c r="G451" s="217">
        <v>3000</v>
      </c>
      <c r="H451" s="218">
        <v>3600</v>
      </c>
      <c r="I451" s="219"/>
      <c r="K451" s="226"/>
    </row>
    <row r="452" spans="1:11" hidden="1" x14ac:dyDescent="0.3">
      <c r="A452" s="211" t="s">
        <v>1195</v>
      </c>
      <c r="B452" s="211" t="s">
        <v>293</v>
      </c>
      <c r="C452" s="211" t="s">
        <v>1173</v>
      </c>
      <c r="D452" s="199"/>
      <c r="E452" s="217" t="s">
        <v>1196</v>
      </c>
      <c r="F452" s="217">
        <v>3054.92</v>
      </c>
      <c r="G452" s="217">
        <v>3000</v>
      </c>
      <c r="H452" s="218">
        <v>3600</v>
      </c>
      <c r="I452" s="219"/>
      <c r="K452" s="226"/>
    </row>
    <row r="453" spans="1:11" hidden="1" x14ac:dyDescent="0.3">
      <c r="A453" s="211" t="s">
        <v>1197</v>
      </c>
      <c r="B453" s="211" t="s">
        <v>1198</v>
      </c>
      <c r="C453" s="211" t="s">
        <v>1199</v>
      </c>
      <c r="D453" s="199"/>
      <c r="E453" s="217" t="s">
        <v>1200</v>
      </c>
      <c r="F453" s="217">
        <v>0</v>
      </c>
      <c r="G453" s="217">
        <v>25416.7</v>
      </c>
      <c r="H453" s="218">
        <v>30500.04</v>
      </c>
      <c r="I453" s="219">
        <f>+'[2]Detailed Support - Middlesex'!M51</f>
        <v>3039731.8835376273</v>
      </c>
      <c r="J453" s="205">
        <v>1250500</v>
      </c>
      <c r="K453" s="226">
        <f>+J453/J375</f>
        <v>8.7423707906330542E-2</v>
      </c>
    </row>
    <row r="454" spans="1:11" x14ac:dyDescent="0.3">
      <c r="A454" s="211"/>
      <c r="B454" s="211"/>
      <c r="C454" s="211"/>
      <c r="D454" s="199"/>
      <c r="E454" s="257" t="s">
        <v>2698</v>
      </c>
      <c r="F454" s="257">
        <f>SUM(F99:F453)</f>
        <v>15293909.750000002</v>
      </c>
      <c r="G454" s="257">
        <f>SUM(G99:G453)</f>
        <v>14835750.100000009</v>
      </c>
      <c r="H454" s="257">
        <f>SUM(H99:H453)</f>
        <v>17802900.120000008</v>
      </c>
      <c r="I454" s="257">
        <f>SUM(I99:I453)</f>
        <v>3039731.8835376273</v>
      </c>
      <c r="J454" s="205">
        <f>+'Base Financials - Middlesex'!C35</f>
        <v>20585930</v>
      </c>
      <c r="K454" s="226">
        <f>13500975+3246639</f>
        <v>16747614</v>
      </c>
    </row>
    <row r="455" spans="1:11" x14ac:dyDescent="0.3">
      <c r="A455" s="211"/>
      <c r="B455" s="211"/>
      <c r="C455" s="211"/>
      <c r="D455" s="199"/>
      <c r="E455" s="257"/>
      <c r="F455" s="257"/>
      <c r="G455" s="257"/>
      <c r="H455" s="286"/>
      <c r="I455" s="258"/>
      <c r="K455" s="226"/>
    </row>
    <row r="456" spans="1:11" hidden="1" x14ac:dyDescent="0.3">
      <c r="A456" s="211" t="s">
        <v>1201</v>
      </c>
      <c r="B456" s="211" t="s">
        <v>422</v>
      </c>
      <c r="C456" s="211" t="s">
        <v>1202</v>
      </c>
      <c r="D456" s="199"/>
      <c r="E456" s="211" t="s">
        <v>1203</v>
      </c>
      <c r="F456" s="211">
        <v>3924.02</v>
      </c>
      <c r="G456" s="211">
        <v>0</v>
      </c>
      <c r="H456" s="204">
        <v>0</v>
      </c>
      <c r="I456" s="205">
        <v>4000</v>
      </c>
      <c r="K456" s="226"/>
    </row>
    <row r="457" spans="1:11" hidden="1" x14ac:dyDescent="0.3">
      <c r="A457" s="211" t="s">
        <v>1204</v>
      </c>
      <c r="B457" s="211" t="s">
        <v>454</v>
      </c>
      <c r="C457" s="211" t="s">
        <v>1202</v>
      </c>
      <c r="D457" s="199"/>
      <c r="E457" s="211" t="s">
        <v>1205</v>
      </c>
      <c r="F457" s="211">
        <v>1268.07</v>
      </c>
      <c r="G457" s="211">
        <v>0</v>
      </c>
      <c r="H457" s="204">
        <v>0</v>
      </c>
      <c r="I457" s="205">
        <v>1300</v>
      </c>
      <c r="K457" s="226"/>
    </row>
    <row r="458" spans="1:11" hidden="1" x14ac:dyDescent="0.3">
      <c r="A458" s="211" t="s">
        <v>1206</v>
      </c>
      <c r="B458" s="211" t="s">
        <v>457</v>
      </c>
      <c r="C458" s="211" t="s">
        <v>1202</v>
      </c>
      <c r="D458" s="199"/>
      <c r="E458" s="211" t="s">
        <v>1207</v>
      </c>
      <c r="F458" s="211">
        <v>1298.57</v>
      </c>
      <c r="G458" s="211">
        <v>16666.7</v>
      </c>
      <c r="H458" s="204">
        <v>20000.04</v>
      </c>
      <c r="I458" s="205">
        <v>1300</v>
      </c>
      <c r="K458" s="226"/>
    </row>
    <row r="459" spans="1:11" hidden="1" x14ac:dyDescent="0.3">
      <c r="A459" s="211" t="s">
        <v>1208</v>
      </c>
      <c r="B459" s="211" t="s">
        <v>468</v>
      </c>
      <c r="C459" s="211" t="s">
        <v>1202</v>
      </c>
      <c r="D459" s="199"/>
      <c r="E459" s="211" t="s">
        <v>1209</v>
      </c>
      <c r="F459" s="211">
        <v>841.99</v>
      </c>
      <c r="G459" s="211">
        <v>0</v>
      </c>
      <c r="H459" s="204">
        <v>0</v>
      </c>
      <c r="I459" s="205">
        <v>850</v>
      </c>
      <c r="K459" s="226"/>
    </row>
    <row r="460" spans="1:11" hidden="1" x14ac:dyDescent="0.3">
      <c r="A460" s="211" t="s">
        <v>1210</v>
      </c>
      <c r="B460" s="211" t="s">
        <v>465</v>
      </c>
      <c r="C460" s="211" t="s">
        <v>1202</v>
      </c>
      <c r="D460" s="199"/>
      <c r="E460" s="211" t="s">
        <v>1211</v>
      </c>
      <c r="F460" s="211">
        <v>1825.33</v>
      </c>
      <c r="G460" s="211">
        <v>0</v>
      </c>
      <c r="H460" s="204">
        <v>0</v>
      </c>
      <c r="I460" s="205">
        <v>1825</v>
      </c>
      <c r="K460" s="226"/>
    </row>
    <row r="461" spans="1:11" hidden="1" x14ac:dyDescent="0.3">
      <c r="A461" s="211" t="s">
        <v>1212</v>
      </c>
      <c r="B461" s="211" t="s">
        <v>473</v>
      </c>
      <c r="C461" s="211" t="s">
        <v>1202</v>
      </c>
      <c r="D461" s="199"/>
      <c r="E461" s="211" t="s">
        <v>1213</v>
      </c>
      <c r="F461" s="211">
        <v>886.71</v>
      </c>
      <c r="G461" s="211">
        <v>0</v>
      </c>
      <c r="H461" s="204">
        <v>0</v>
      </c>
      <c r="I461" s="205">
        <v>885</v>
      </c>
      <c r="K461" s="226"/>
    </row>
    <row r="462" spans="1:11" hidden="1" x14ac:dyDescent="0.3">
      <c r="A462" s="211" t="s">
        <v>1214</v>
      </c>
      <c r="B462" s="211" t="s">
        <v>247</v>
      </c>
      <c r="C462" s="211" t="s">
        <v>1202</v>
      </c>
      <c r="D462" s="199"/>
      <c r="E462" s="211" t="s">
        <v>1215</v>
      </c>
      <c r="F462" s="211">
        <v>198.68</v>
      </c>
      <c r="G462" s="211">
        <v>0</v>
      </c>
      <c r="H462" s="204">
        <v>0</v>
      </c>
      <c r="I462" s="205">
        <v>200</v>
      </c>
      <c r="K462" s="226"/>
    </row>
    <row r="463" spans="1:11" hidden="1" x14ac:dyDescent="0.3">
      <c r="A463" s="211" t="s">
        <v>1216</v>
      </c>
      <c r="B463" s="211" t="s">
        <v>485</v>
      </c>
      <c r="C463" s="211" t="s">
        <v>1202</v>
      </c>
      <c r="D463" s="199"/>
      <c r="E463" s="211" t="s">
        <v>1217</v>
      </c>
      <c r="F463" s="211">
        <v>360</v>
      </c>
      <c r="G463" s="211">
        <v>0</v>
      </c>
      <c r="H463" s="204">
        <v>0</v>
      </c>
      <c r="I463" s="205">
        <v>360</v>
      </c>
      <c r="K463" s="226"/>
    </row>
    <row r="464" spans="1:11" hidden="1" x14ac:dyDescent="0.3">
      <c r="A464" s="211" t="s">
        <v>1218</v>
      </c>
      <c r="B464" s="211" t="s">
        <v>465</v>
      </c>
      <c r="C464" s="211" t="s">
        <v>1202</v>
      </c>
      <c r="D464" s="199"/>
      <c r="E464" s="211" t="s">
        <v>1219</v>
      </c>
      <c r="F464" s="211">
        <v>690</v>
      </c>
      <c r="G464" s="211">
        <v>0</v>
      </c>
      <c r="H464" s="204">
        <v>0</v>
      </c>
      <c r="I464" s="205">
        <v>690</v>
      </c>
      <c r="K464" s="226"/>
    </row>
    <row r="465" spans="1:11" hidden="1" x14ac:dyDescent="0.3">
      <c r="A465" s="211" t="s">
        <v>1220</v>
      </c>
      <c r="B465" s="211" t="s">
        <v>412</v>
      </c>
      <c r="C465" s="211" t="s">
        <v>1202</v>
      </c>
      <c r="D465" s="199"/>
      <c r="E465" s="211" t="s">
        <v>1221</v>
      </c>
      <c r="F465" s="211">
        <v>425</v>
      </c>
      <c r="G465" s="211">
        <v>0</v>
      </c>
      <c r="H465" s="204">
        <v>0</v>
      </c>
      <c r="I465" s="205">
        <v>425</v>
      </c>
      <c r="K465" s="226"/>
    </row>
    <row r="466" spans="1:11" hidden="1" x14ac:dyDescent="0.3">
      <c r="A466" s="211" t="s">
        <v>1222</v>
      </c>
      <c r="B466" s="211" t="s">
        <v>490</v>
      </c>
      <c r="C466" s="211" t="s">
        <v>1202</v>
      </c>
      <c r="D466" s="199"/>
      <c r="E466" s="211" t="s">
        <v>1223</v>
      </c>
      <c r="F466" s="211">
        <v>360</v>
      </c>
      <c r="G466" s="211">
        <v>0</v>
      </c>
      <c r="H466" s="204">
        <v>0</v>
      </c>
      <c r="I466" s="205">
        <v>360</v>
      </c>
      <c r="K466" s="226"/>
    </row>
    <row r="467" spans="1:11" hidden="1" x14ac:dyDescent="0.3">
      <c r="A467" s="211" t="s">
        <v>1224</v>
      </c>
      <c r="B467" s="211" t="s">
        <v>511</v>
      </c>
      <c r="C467" s="211" t="s">
        <v>1202</v>
      </c>
      <c r="D467" s="199"/>
      <c r="E467" s="211" t="s">
        <v>1225</v>
      </c>
      <c r="F467" s="211">
        <v>360</v>
      </c>
      <c r="G467" s="211">
        <v>0</v>
      </c>
      <c r="H467" s="204">
        <v>0</v>
      </c>
      <c r="I467" s="205">
        <v>360</v>
      </c>
      <c r="K467" s="226"/>
    </row>
    <row r="468" spans="1:11" hidden="1" x14ac:dyDescent="0.3">
      <c r="A468" s="211" t="s">
        <v>1226</v>
      </c>
      <c r="B468" s="211" t="s">
        <v>422</v>
      </c>
      <c r="C468" s="211" t="s">
        <v>1202</v>
      </c>
      <c r="D468" s="199"/>
      <c r="E468" s="211" t="s">
        <v>1227</v>
      </c>
      <c r="F468" s="211">
        <v>283.86</v>
      </c>
      <c r="G468" s="211">
        <v>0</v>
      </c>
      <c r="H468" s="204">
        <v>0</v>
      </c>
      <c r="I468" s="205">
        <v>285</v>
      </c>
      <c r="K468" s="226"/>
    </row>
    <row r="469" spans="1:11" hidden="1" x14ac:dyDescent="0.3">
      <c r="A469" s="211" t="s">
        <v>1228</v>
      </c>
      <c r="B469" s="211" t="s">
        <v>280</v>
      </c>
      <c r="C469" s="211" t="s">
        <v>1202</v>
      </c>
      <c r="D469" s="199"/>
      <c r="E469" s="211" t="s">
        <v>1229</v>
      </c>
      <c r="F469" s="211">
        <v>640.64</v>
      </c>
      <c r="G469" s="211">
        <v>0</v>
      </c>
      <c r="H469" s="204">
        <v>0</v>
      </c>
      <c r="I469" s="205">
        <v>640</v>
      </c>
      <c r="K469" s="226"/>
    </row>
    <row r="470" spans="1:11" hidden="1" x14ac:dyDescent="0.3">
      <c r="A470" s="211" t="s">
        <v>1230</v>
      </c>
      <c r="B470" s="211" t="s">
        <v>280</v>
      </c>
      <c r="C470" s="211" t="s">
        <v>1202</v>
      </c>
      <c r="D470" s="199"/>
      <c r="E470" s="211" t="s">
        <v>1231</v>
      </c>
      <c r="F470" s="211">
        <v>330</v>
      </c>
      <c r="G470" s="211">
        <v>0</v>
      </c>
      <c r="H470" s="204">
        <v>0</v>
      </c>
      <c r="I470" s="205">
        <v>330</v>
      </c>
      <c r="K470" s="226"/>
    </row>
    <row r="471" spans="1:11" hidden="1" x14ac:dyDescent="0.3">
      <c r="A471" s="211" t="s">
        <v>1232</v>
      </c>
      <c r="B471" s="211" t="s">
        <v>280</v>
      </c>
      <c r="C471" s="211" t="s">
        <v>1202</v>
      </c>
      <c r="D471" s="199"/>
      <c r="E471" s="211" t="s">
        <v>1233</v>
      </c>
      <c r="F471" s="211">
        <v>1201.92</v>
      </c>
      <c r="G471" s="211">
        <v>0</v>
      </c>
      <c r="H471" s="204">
        <v>0</v>
      </c>
      <c r="I471" s="205">
        <v>1200</v>
      </c>
      <c r="K471" s="226"/>
    </row>
    <row r="472" spans="1:11" hidden="1" x14ac:dyDescent="0.3">
      <c r="A472" s="211" t="s">
        <v>1234</v>
      </c>
      <c r="B472" s="211" t="s">
        <v>280</v>
      </c>
      <c r="C472" s="211" t="s">
        <v>1202</v>
      </c>
      <c r="D472" s="199"/>
      <c r="E472" s="211" t="s">
        <v>1235</v>
      </c>
      <c r="F472" s="211">
        <v>640.64</v>
      </c>
      <c r="G472" s="211">
        <v>0</v>
      </c>
      <c r="H472" s="204">
        <v>0</v>
      </c>
      <c r="I472" s="205">
        <v>640</v>
      </c>
      <c r="K472" s="226"/>
    </row>
    <row r="473" spans="1:11" hidden="1" x14ac:dyDescent="0.3">
      <c r="A473" s="211" t="s">
        <v>1236</v>
      </c>
      <c r="B473" s="211" t="s">
        <v>280</v>
      </c>
      <c r="C473" s="211" t="s">
        <v>1202</v>
      </c>
      <c r="D473" s="199"/>
      <c r="E473" s="211" t="s">
        <v>1237</v>
      </c>
      <c r="F473" s="211">
        <v>280.64</v>
      </c>
      <c r="G473" s="211">
        <v>0</v>
      </c>
      <c r="H473" s="204">
        <v>0</v>
      </c>
      <c r="I473" s="205">
        <v>280</v>
      </c>
      <c r="K473" s="226"/>
    </row>
    <row r="474" spans="1:11" hidden="1" x14ac:dyDescent="0.3">
      <c r="A474" s="211" t="s">
        <v>1238</v>
      </c>
      <c r="B474" s="211" t="s">
        <v>287</v>
      </c>
      <c r="C474" s="211" t="s">
        <v>1202</v>
      </c>
      <c r="D474" s="199"/>
      <c r="E474" s="211" t="s">
        <v>1239</v>
      </c>
      <c r="F474" s="211">
        <v>620</v>
      </c>
      <c r="G474" s="211">
        <v>0</v>
      </c>
      <c r="H474" s="204">
        <v>0</v>
      </c>
      <c r="I474" s="205">
        <v>620</v>
      </c>
      <c r="K474" s="226"/>
    </row>
    <row r="475" spans="1:11" hidden="1" x14ac:dyDescent="0.3">
      <c r="A475" s="211" t="s">
        <v>1240</v>
      </c>
      <c r="B475" s="211" t="s">
        <v>412</v>
      </c>
      <c r="C475" s="211" t="s">
        <v>1202</v>
      </c>
      <c r="D475" s="199"/>
      <c r="E475" s="211" t="s">
        <v>1241</v>
      </c>
      <c r="F475" s="211">
        <v>873.03</v>
      </c>
      <c r="G475" s="211">
        <v>0</v>
      </c>
      <c r="H475" s="204">
        <v>0</v>
      </c>
      <c r="I475" s="205">
        <v>875</v>
      </c>
      <c r="K475" s="226"/>
    </row>
    <row r="476" spans="1:11" hidden="1" x14ac:dyDescent="0.3">
      <c r="A476" s="211" t="s">
        <v>1242</v>
      </c>
      <c r="B476" s="211" t="s">
        <v>412</v>
      </c>
      <c r="C476" s="211" t="s">
        <v>1202</v>
      </c>
      <c r="D476" s="199"/>
      <c r="E476" s="211" t="s">
        <v>1243</v>
      </c>
      <c r="F476" s="211">
        <v>1080.75</v>
      </c>
      <c r="G476" s="211">
        <v>0</v>
      </c>
      <c r="H476" s="204">
        <v>0</v>
      </c>
      <c r="I476" s="205">
        <v>1100</v>
      </c>
      <c r="K476" s="226"/>
    </row>
    <row r="477" spans="1:11" hidden="1" x14ac:dyDescent="0.3">
      <c r="A477" s="211" t="s">
        <v>1244</v>
      </c>
      <c r="B477" s="211" t="s">
        <v>412</v>
      </c>
      <c r="C477" s="211" t="s">
        <v>1202</v>
      </c>
      <c r="D477" s="199"/>
      <c r="E477" s="211" t="s">
        <v>1245</v>
      </c>
      <c r="F477" s="211">
        <v>1564.6</v>
      </c>
      <c r="G477" s="211">
        <v>0</v>
      </c>
      <c r="H477" s="204">
        <v>0</v>
      </c>
      <c r="I477" s="205">
        <v>1600</v>
      </c>
      <c r="K477" s="226"/>
    </row>
    <row r="478" spans="1:11" hidden="1" x14ac:dyDescent="0.3">
      <c r="A478" s="211" t="s">
        <v>1246</v>
      </c>
      <c r="B478" s="211" t="s">
        <v>558</v>
      </c>
      <c r="C478" s="211" t="s">
        <v>1202</v>
      </c>
      <c r="D478" s="199"/>
      <c r="E478" s="211" t="s">
        <v>1247</v>
      </c>
      <c r="F478" s="211">
        <v>247.5</v>
      </c>
      <c r="G478" s="211">
        <v>0</v>
      </c>
      <c r="H478" s="204">
        <v>0</v>
      </c>
      <c r="I478" s="205">
        <v>250</v>
      </c>
      <c r="K478" s="226"/>
    </row>
    <row r="479" spans="1:11" hidden="1" x14ac:dyDescent="0.3">
      <c r="A479" s="211" t="s">
        <v>1248</v>
      </c>
      <c r="B479" s="211" t="s">
        <v>561</v>
      </c>
      <c r="C479" s="211" t="s">
        <v>1202</v>
      </c>
      <c r="D479" s="199"/>
      <c r="E479" s="211" t="s">
        <v>1249</v>
      </c>
      <c r="F479" s="211">
        <v>720</v>
      </c>
      <c r="G479" s="211">
        <v>0</v>
      </c>
      <c r="H479" s="204">
        <v>0</v>
      </c>
      <c r="I479" s="205">
        <v>720</v>
      </c>
      <c r="K479" s="226"/>
    </row>
    <row r="480" spans="1:11" hidden="1" x14ac:dyDescent="0.3">
      <c r="A480" s="211" t="s">
        <v>1250</v>
      </c>
      <c r="B480" s="211" t="s">
        <v>290</v>
      </c>
      <c r="C480" s="211" t="s">
        <v>1202</v>
      </c>
      <c r="D480" s="199"/>
      <c r="E480" s="256" t="s">
        <v>1251</v>
      </c>
      <c r="F480" s="211">
        <v>1525</v>
      </c>
      <c r="G480" s="211">
        <v>0</v>
      </c>
      <c r="H480" s="204">
        <v>0</v>
      </c>
      <c r="I480" s="205">
        <f>+F480/10*12</f>
        <v>1830</v>
      </c>
      <c r="K480" s="259">
        <f>SUM(I456:I480)</f>
        <v>22925</v>
      </c>
    </row>
    <row r="481" spans="1:11" hidden="1" x14ac:dyDescent="0.3">
      <c r="A481" s="211" t="s">
        <v>1252</v>
      </c>
      <c r="B481" s="211" t="s">
        <v>422</v>
      </c>
      <c r="C481" s="211" t="s">
        <v>1253</v>
      </c>
      <c r="D481" s="199"/>
      <c r="E481" s="211" t="s">
        <v>1254</v>
      </c>
      <c r="F481" s="211">
        <v>-65969.42</v>
      </c>
      <c r="G481" s="211">
        <v>0</v>
      </c>
      <c r="H481" s="204">
        <v>0</v>
      </c>
    </row>
    <row r="482" spans="1:11" hidden="1" x14ac:dyDescent="0.3">
      <c r="A482" s="211" t="s">
        <v>1255</v>
      </c>
      <c r="B482" s="211" t="s">
        <v>465</v>
      </c>
      <c r="C482" s="211" t="s">
        <v>415</v>
      </c>
      <c r="D482" s="199"/>
      <c r="E482" s="211" t="s">
        <v>1256</v>
      </c>
      <c r="F482" s="211">
        <v>9885.51</v>
      </c>
      <c r="G482" s="211">
        <v>0</v>
      </c>
      <c r="H482" s="204">
        <v>0</v>
      </c>
    </row>
    <row r="483" spans="1:11" hidden="1" x14ac:dyDescent="0.3">
      <c r="A483" s="211" t="s">
        <v>1257</v>
      </c>
      <c r="B483" s="211" t="s">
        <v>465</v>
      </c>
      <c r="C483" s="211" t="s">
        <v>415</v>
      </c>
      <c r="D483" s="199"/>
      <c r="E483" s="211" t="s">
        <v>1258</v>
      </c>
      <c r="F483" s="211">
        <v>19716.98</v>
      </c>
      <c r="G483" s="211">
        <v>0</v>
      </c>
      <c r="H483" s="204">
        <v>0</v>
      </c>
    </row>
    <row r="484" spans="1:11" hidden="1" x14ac:dyDescent="0.3">
      <c r="A484" s="211" t="s">
        <v>1259</v>
      </c>
      <c r="B484" s="211" t="s">
        <v>508</v>
      </c>
      <c r="C484" s="211" t="s">
        <v>415</v>
      </c>
      <c r="D484" s="199"/>
      <c r="E484" s="211" t="s">
        <v>1260</v>
      </c>
      <c r="F484" s="211">
        <v>-941.85</v>
      </c>
      <c r="G484" s="211">
        <v>0</v>
      </c>
      <c r="H484" s="204">
        <v>0</v>
      </c>
    </row>
    <row r="485" spans="1:11" hidden="1" x14ac:dyDescent="0.3">
      <c r="A485" s="211" t="s">
        <v>1261</v>
      </c>
      <c r="B485" s="211" t="s">
        <v>280</v>
      </c>
      <c r="C485" s="211" t="s">
        <v>415</v>
      </c>
      <c r="D485" s="199"/>
      <c r="E485" s="211" t="s">
        <v>1262</v>
      </c>
      <c r="F485" s="211">
        <v>14215.65</v>
      </c>
      <c r="G485" s="211">
        <v>0</v>
      </c>
      <c r="H485" s="204">
        <v>0</v>
      </c>
    </row>
    <row r="486" spans="1:11" hidden="1" x14ac:dyDescent="0.3">
      <c r="A486" s="211" t="s">
        <v>1263</v>
      </c>
      <c r="B486" s="211" t="s">
        <v>283</v>
      </c>
      <c r="C486" s="211" t="s">
        <v>415</v>
      </c>
      <c r="D486" s="199"/>
      <c r="E486" s="211" t="s">
        <v>1264</v>
      </c>
      <c r="F486" s="211">
        <v>4773.78</v>
      </c>
      <c r="G486" s="211">
        <v>0</v>
      </c>
      <c r="H486" s="204">
        <v>0</v>
      </c>
    </row>
    <row r="487" spans="1:11" hidden="1" x14ac:dyDescent="0.3">
      <c r="A487" s="211" t="s">
        <v>1265</v>
      </c>
      <c r="B487" s="211" t="s">
        <v>1266</v>
      </c>
      <c r="C487" s="211" t="s">
        <v>415</v>
      </c>
      <c r="D487" s="199"/>
      <c r="E487" s="211" t="s">
        <v>1267</v>
      </c>
      <c r="F487" s="211">
        <v>4445.67</v>
      </c>
      <c r="G487" s="211">
        <v>0</v>
      </c>
      <c r="H487" s="204">
        <v>0</v>
      </c>
    </row>
    <row r="488" spans="1:11" hidden="1" x14ac:dyDescent="0.3">
      <c r="A488" s="211" t="s">
        <v>1268</v>
      </c>
      <c r="B488" s="211" t="s">
        <v>412</v>
      </c>
      <c r="C488" s="211" t="s">
        <v>415</v>
      </c>
      <c r="D488" s="199"/>
      <c r="E488" s="211" t="s">
        <v>1269</v>
      </c>
      <c r="F488" s="211">
        <v>886.32</v>
      </c>
      <c r="G488" s="211">
        <v>0</v>
      </c>
      <c r="H488" s="204">
        <v>0</v>
      </c>
    </row>
    <row r="489" spans="1:11" hidden="1" x14ac:dyDescent="0.3">
      <c r="A489" s="211" t="s">
        <v>1270</v>
      </c>
      <c r="B489" s="211" t="s">
        <v>558</v>
      </c>
      <c r="C489" s="211" t="s">
        <v>415</v>
      </c>
      <c r="D489" s="199"/>
      <c r="E489" s="211" t="s">
        <v>1271</v>
      </c>
      <c r="F489" s="211">
        <v>4257.75</v>
      </c>
      <c r="G489" s="211">
        <v>0</v>
      </c>
      <c r="H489" s="204">
        <v>0</v>
      </c>
      <c r="I489" s="205">
        <f t="shared" ref="I489:I552" si="2">+F489/10*12</f>
        <v>5109.2999999999993</v>
      </c>
    </row>
    <row r="490" spans="1:11" hidden="1" x14ac:dyDescent="0.3">
      <c r="A490" s="211" t="s">
        <v>1272</v>
      </c>
      <c r="B490" s="211" t="s">
        <v>260</v>
      </c>
      <c r="C490" s="211" t="s">
        <v>1273</v>
      </c>
      <c r="D490" s="199"/>
      <c r="E490" s="211" t="s">
        <v>1274</v>
      </c>
      <c r="F490" s="211">
        <v>0</v>
      </c>
      <c r="G490" s="211">
        <v>6666.7</v>
      </c>
      <c r="H490" s="204">
        <v>8000.0399999999991</v>
      </c>
      <c r="I490" s="205">
        <f>+H490</f>
        <v>8000.0399999999991</v>
      </c>
    </row>
    <row r="491" spans="1:11" hidden="1" x14ac:dyDescent="0.3">
      <c r="A491" s="211" t="s">
        <v>1275</v>
      </c>
      <c r="B491" s="211" t="s">
        <v>303</v>
      </c>
      <c r="C491" s="211" t="s">
        <v>1273</v>
      </c>
      <c r="D491" s="199"/>
      <c r="E491" s="211" t="s">
        <v>1276</v>
      </c>
      <c r="F491" s="211">
        <v>0</v>
      </c>
      <c r="G491" s="211">
        <v>5916.7</v>
      </c>
      <c r="H491" s="204">
        <v>7100.0399999999991</v>
      </c>
      <c r="I491" s="205">
        <f t="shared" si="2"/>
        <v>0</v>
      </c>
    </row>
    <row r="492" spans="1:11" hidden="1" x14ac:dyDescent="0.3">
      <c r="A492" s="211" t="s">
        <v>1277</v>
      </c>
      <c r="B492" s="211" t="s">
        <v>283</v>
      </c>
      <c r="C492" s="211" t="s">
        <v>1273</v>
      </c>
      <c r="D492" s="199"/>
      <c r="E492" s="211" t="s">
        <v>1278</v>
      </c>
      <c r="F492" s="211">
        <v>0</v>
      </c>
      <c r="G492" s="211">
        <v>54583.3</v>
      </c>
      <c r="H492" s="204">
        <v>65499.96</v>
      </c>
      <c r="I492" s="205">
        <f t="shared" si="2"/>
        <v>0</v>
      </c>
    </row>
    <row r="493" spans="1:11" hidden="1" x14ac:dyDescent="0.3">
      <c r="A493" s="211" t="s">
        <v>1279</v>
      </c>
      <c r="B493" s="211" t="s">
        <v>287</v>
      </c>
      <c r="C493" s="211" t="s">
        <v>1273</v>
      </c>
      <c r="D493" s="199"/>
      <c r="E493" s="211" t="s">
        <v>1280</v>
      </c>
      <c r="F493" s="211">
        <v>0</v>
      </c>
      <c r="G493" s="211">
        <v>41666.699999999997</v>
      </c>
      <c r="H493" s="204">
        <v>50000.04</v>
      </c>
      <c r="I493" s="205">
        <v>140856</v>
      </c>
    </row>
    <row r="494" spans="1:11" hidden="1" x14ac:dyDescent="0.3">
      <c r="A494" s="211" t="s">
        <v>1281</v>
      </c>
      <c r="B494" s="211" t="s">
        <v>306</v>
      </c>
      <c r="C494" s="211" t="s">
        <v>1273</v>
      </c>
      <c r="D494" s="199"/>
      <c r="E494" s="256" t="s">
        <v>1282</v>
      </c>
      <c r="F494" s="211">
        <v>0</v>
      </c>
      <c r="G494" s="211">
        <v>6666.7</v>
      </c>
      <c r="H494" s="204">
        <v>8000.0399999999991</v>
      </c>
      <c r="I494" s="205">
        <f>+H494</f>
        <v>8000.0399999999991</v>
      </c>
      <c r="K494" s="259">
        <f>+I494+I493+I490+I489</f>
        <v>161965.38</v>
      </c>
    </row>
    <row r="495" spans="1:11" hidden="1" x14ac:dyDescent="0.3">
      <c r="A495" s="211" t="s">
        <v>1283</v>
      </c>
      <c r="B495" s="211" t="s">
        <v>454</v>
      </c>
      <c r="C495" s="211" t="s">
        <v>1284</v>
      </c>
      <c r="D495" s="199"/>
      <c r="E495" s="211" t="s">
        <v>1285</v>
      </c>
      <c r="F495" s="211">
        <v>1164.71</v>
      </c>
      <c r="G495" s="211">
        <v>4166.7</v>
      </c>
      <c r="H495" s="204">
        <v>5000.0399999999991</v>
      </c>
      <c r="I495" s="205">
        <f t="shared" si="2"/>
        <v>1397.652</v>
      </c>
    </row>
    <row r="496" spans="1:11" hidden="1" x14ac:dyDescent="0.3">
      <c r="A496" s="211" t="s">
        <v>1286</v>
      </c>
      <c r="B496" s="211" t="s">
        <v>457</v>
      </c>
      <c r="C496" s="211" t="s">
        <v>1287</v>
      </c>
      <c r="D496" s="199"/>
      <c r="E496" s="211" t="s">
        <v>1288</v>
      </c>
      <c r="F496" s="211">
        <v>14756.86</v>
      </c>
      <c r="G496" s="211">
        <v>2500</v>
      </c>
      <c r="H496" s="204">
        <v>3000</v>
      </c>
      <c r="I496" s="205">
        <f t="shared" si="2"/>
        <v>17708.232000000004</v>
      </c>
    </row>
    <row r="497" spans="1:9" hidden="1" x14ac:dyDescent="0.3">
      <c r="A497" s="211" t="s">
        <v>1289</v>
      </c>
      <c r="B497" s="211" t="s">
        <v>402</v>
      </c>
      <c r="C497" s="211" t="s">
        <v>1287</v>
      </c>
      <c r="D497" s="199"/>
      <c r="E497" s="211" t="s">
        <v>1290</v>
      </c>
      <c r="F497" s="211">
        <v>7033.53</v>
      </c>
      <c r="G497" s="211">
        <v>0</v>
      </c>
      <c r="H497" s="204">
        <v>0</v>
      </c>
      <c r="I497" s="205">
        <f t="shared" si="2"/>
        <v>8440.235999999999</v>
      </c>
    </row>
    <row r="498" spans="1:9" hidden="1" x14ac:dyDescent="0.3">
      <c r="A498" s="211" t="s">
        <v>1291</v>
      </c>
      <c r="B498" s="211" t="s">
        <v>408</v>
      </c>
      <c r="C498" s="211" t="s">
        <v>1287</v>
      </c>
      <c r="D498" s="199"/>
      <c r="E498" s="211" t="s">
        <v>1292</v>
      </c>
      <c r="F498" s="211">
        <v>10452.57</v>
      </c>
      <c r="G498" s="211">
        <v>0</v>
      </c>
      <c r="H498" s="204">
        <v>0</v>
      </c>
      <c r="I498" s="205">
        <f t="shared" si="2"/>
        <v>12543.084000000001</v>
      </c>
    </row>
    <row r="499" spans="1:9" hidden="1" x14ac:dyDescent="0.3">
      <c r="A499" s="211" t="s">
        <v>1293</v>
      </c>
      <c r="B499" s="211" t="s">
        <v>465</v>
      </c>
      <c r="C499" s="211" t="s">
        <v>1287</v>
      </c>
      <c r="D499" s="199"/>
      <c r="E499" s="211" t="s">
        <v>1294</v>
      </c>
      <c r="F499" s="211">
        <v>379.11</v>
      </c>
      <c r="G499" s="211">
        <v>2500</v>
      </c>
      <c r="H499" s="204">
        <v>3000</v>
      </c>
      <c r="I499" s="205">
        <f t="shared" si="2"/>
        <v>454.93200000000002</v>
      </c>
    </row>
    <row r="500" spans="1:9" hidden="1" x14ac:dyDescent="0.3">
      <c r="A500" s="211" t="s">
        <v>1295</v>
      </c>
      <c r="B500" s="211" t="s">
        <v>473</v>
      </c>
      <c r="C500" s="211" t="s">
        <v>1287</v>
      </c>
      <c r="D500" s="199"/>
      <c r="E500" s="211" t="s">
        <v>1296</v>
      </c>
      <c r="F500" s="211">
        <v>13477.84</v>
      </c>
      <c r="G500" s="211">
        <v>12500</v>
      </c>
      <c r="H500" s="204">
        <v>15000</v>
      </c>
      <c r="I500" s="205">
        <f t="shared" si="2"/>
        <v>16173.408000000001</v>
      </c>
    </row>
    <row r="501" spans="1:9" hidden="1" x14ac:dyDescent="0.3">
      <c r="A501" s="211" t="s">
        <v>1297</v>
      </c>
      <c r="B501" s="211" t="s">
        <v>247</v>
      </c>
      <c r="C501" s="211" t="s">
        <v>1287</v>
      </c>
      <c r="D501" s="199"/>
      <c r="E501" s="211" t="s">
        <v>1298</v>
      </c>
      <c r="F501" s="211">
        <v>538.15</v>
      </c>
      <c r="G501" s="211">
        <v>1666.7</v>
      </c>
      <c r="H501" s="204">
        <v>2000.0400000000002</v>
      </c>
      <c r="I501" s="205">
        <f t="shared" si="2"/>
        <v>645.78</v>
      </c>
    </row>
    <row r="502" spans="1:9" hidden="1" x14ac:dyDescent="0.3">
      <c r="A502" s="211" t="s">
        <v>1299</v>
      </c>
      <c r="B502" s="211" t="s">
        <v>480</v>
      </c>
      <c r="C502" s="211" t="s">
        <v>1287</v>
      </c>
      <c r="D502" s="199"/>
      <c r="E502" s="211" t="s">
        <v>1300</v>
      </c>
      <c r="F502" s="211">
        <v>224.82</v>
      </c>
      <c r="G502" s="211">
        <v>2500</v>
      </c>
      <c r="H502" s="204">
        <v>3000</v>
      </c>
      <c r="I502" s="205">
        <f t="shared" si="2"/>
        <v>269.78399999999999</v>
      </c>
    </row>
    <row r="503" spans="1:9" hidden="1" x14ac:dyDescent="0.3">
      <c r="A503" s="211" t="s">
        <v>1301</v>
      </c>
      <c r="B503" s="211" t="s">
        <v>422</v>
      </c>
      <c r="C503" s="211" t="s">
        <v>1287</v>
      </c>
      <c r="D503" s="199"/>
      <c r="E503" s="211" t="s">
        <v>1302</v>
      </c>
      <c r="F503" s="211">
        <v>2994.45</v>
      </c>
      <c r="G503" s="211">
        <v>2500</v>
      </c>
      <c r="H503" s="204">
        <v>3000</v>
      </c>
      <c r="I503" s="205">
        <f t="shared" si="2"/>
        <v>3593.34</v>
      </c>
    </row>
    <row r="504" spans="1:9" hidden="1" x14ac:dyDescent="0.3">
      <c r="A504" s="211" t="s">
        <v>1303</v>
      </c>
      <c r="B504" s="211" t="s">
        <v>490</v>
      </c>
      <c r="C504" s="211" t="s">
        <v>1287</v>
      </c>
      <c r="D504" s="199"/>
      <c r="E504" s="211" t="s">
        <v>1304</v>
      </c>
      <c r="F504" s="211">
        <v>4491.07</v>
      </c>
      <c r="G504" s="211">
        <v>2500</v>
      </c>
      <c r="H504" s="204">
        <v>3000</v>
      </c>
      <c r="I504" s="205">
        <f t="shared" si="2"/>
        <v>5389.2839999999997</v>
      </c>
    </row>
    <row r="505" spans="1:9" hidden="1" x14ac:dyDescent="0.3">
      <c r="A505" s="211" t="s">
        <v>1305</v>
      </c>
      <c r="B505" s="211" t="s">
        <v>251</v>
      </c>
      <c r="C505" s="211" t="s">
        <v>1287</v>
      </c>
      <c r="D505" s="199"/>
      <c r="E505" s="211" t="s">
        <v>1306</v>
      </c>
      <c r="F505" s="211">
        <v>18418.5</v>
      </c>
      <c r="G505" s="211">
        <v>16666.7</v>
      </c>
      <c r="H505" s="204">
        <v>20000.04</v>
      </c>
      <c r="I505" s="205">
        <f t="shared" si="2"/>
        <v>22102.199999999997</v>
      </c>
    </row>
    <row r="506" spans="1:9" hidden="1" x14ac:dyDescent="0.3">
      <c r="A506" s="211" t="s">
        <v>1307</v>
      </c>
      <c r="B506" s="211" t="s">
        <v>257</v>
      </c>
      <c r="C506" s="211" t="s">
        <v>1287</v>
      </c>
      <c r="D506" s="199"/>
      <c r="E506" s="211" t="s">
        <v>1308</v>
      </c>
      <c r="F506" s="211">
        <v>23109.439999999999</v>
      </c>
      <c r="G506" s="211">
        <v>0</v>
      </c>
      <c r="H506" s="204">
        <v>0</v>
      </c>
      <c r="I506" s="205">
        <f t="shared" si="2"/>
        <v>27731.328000000001</v>
      </c>
    </row>
    <row r="507" spans="1:9" hidden="1" x14ac:dyDescent="0.3">
      <c r="A507" s="211" t="s">
        <v>1309</v>
      </c>
      <c r="B507" s="211" t="s">
        <v>257</v>
      </c>
      <c r="C507" s="211" t="s">
        <v>1287</v>
      </c>
      <c r="D507" s="199"/>
      <c r="E507" s="211" t="s">
        <v>1310</v>
      </c>
      <c r="F507" s="211">
        <v>-5022.32</v>
      </c>
      <c r="G507" s="211">
        <v>4166.7</v>
      </c>
      <c r="H507" s="204">
        <v>5000.0399999999991</v>
      </c>
      <c r="I507" s="205">
        <f t="shared" si="2"/>
        <v>-6026.7839999999997</v>
      </c>
    </row>
    <row r="508" spans="1:9" hidden="1" x14ac:dyDescent="0.3">
      <c r="A508" s="211" t="s">
        <v>1311</v>
      </c>
      <c r="B508" s="211" t="s">
        <v>490</v>
      </c>
      <c r="C508" s="211" t="s">
        <v>1287</v>
      </c>
      <c r="D508" s="199"/>
      <c r="E508" s="211" t="s">
        <v>1312</v>
      </c>
      <c r="F508" s="211">
        <v>3039.17</v>
      </c>
      <c r="G508" s="211">
        <v>5000</v>
      </c>
      <c r="H508" s="204">
        <v>6000</v>
      </c>
      <c r="I508" s="205">
        <f t="shared" si="2"/>
        <v>3647.0040000000004</v>
      </c>
    </row>
    <row r="509" spans="1:9" hidden="1" x14ac:dyDescent="0.3">
      <c r="A509" s="211" t="s">
        <v>1313</v>
      </c>
      <c r="B509" s="211" t="s">
        <v>508</v>
      </c>
      <c r="C509" s="211" t="s">
        <v>1287</v>
      </c>
      <c r="D509" s="199"/>
      <c r="E509" s="211" t="s">
        <v>1314</v>
      </c>
      <c r="F509" s="211">
        <v>1641.84</v>
      </c>
      <c r="G509" s="211">
        <v>0</v>
      </c>
      <c r="H509" s="204">
        <v>0</v>
      </c>
      <c r="I509" s="205">
        <f t="shared" si="2"/>
        <v>1970.2080000000001</v>
      </c>
    </row>
    <row r="510" spans="1:9" hidden="1" x14ac:dyDescent="0.3">
      <c r="A510" s="211" t="s">
        <v>1315</v>
      </c>
      <c r="B510" s="211" t="s">
        <v>511</v>
      </c>
      <c r="C510" s="211" t="s">
        <v>1287</v>
      </c>
      <c r="D510" s="199"/>
      <c r="E510" s="211" t="s">
        <v>1316</v>
      </c>
      <c r="F510" s="211">
        <v>0</v>
      </c>
      <c r="G510" s="211">
        <v>1666.7</v>
      </c>
      <c r="H510" s="204">
        <v>2000.0400000000002</v>
      </c>
      <c r="I510" s="205">
        <f t="shared" si="2"/>
        <v>0</v>
      </c>
    </row>
    <row r="511" spans="1:9" hidden="1" x14ac:dyDescent="0.3">
      <c r="A511" s="211" t="s">
        <v>1317</v>
      </c>
      <c r="B511" s="211" t="s">
        <v>422</v>
      </c>
      <c r="C511" s="211" t="s">
        <v>1287</v>
      </c>
      <c r="D511" s="199"/>
      <c r="E511" s="211" t="s">
        <v>1318</v>
      </c>
      <c r="F511" s="211">
        <v>562.96</v>
      </c>
      <c r="G511" s="211">
        <v>1666.7</v>
      </c>
      <c r="H511" s="204">
        <v>2000.0400000000002</v>
      </c>
      <c r="I511" s="205">
        <f t="shared" si="2"/>
        <v>675.55200000000013</v>
      </c>
    </row>
    <row r="512" spans="1:9" hidden="1" x14ac:dyDescent="0.3">
      <c r="A512" s="211" t="s">
        <v>1319</v>
      </c>
      <c r="B512" s="211" t="s">
        <v>300</v>
      </c>
      <c r="C512" s="211" t="s">
        <v>1287</v>
      </c>
      <c r="D512" s="199"/>
      <c r="E512" s="211" t="s">
        <v>1320</v>
      </c>
      <c r="F512" s="211">
        <v>1959.26</v>
      </c>
      <c r="G512" s="211">
        <v>1583.3</v>
      </c>
      <c r="H512" s="204">
        <v>1899.9599999999998</v>
      </c>
      <c r="I512" s="205">
        <f t="shared" si="2"/>
        <v>2351.1120000000001</v>
      </c>
    </row>
    <row r="513" spans="1:9" hidden="1" x14ac:dyDescent="0.3">
      <c r="A513" s="211" t="s">
        <v>1321</v>
      </c>
      <c r="B513" s="211" t="s">
        <v>490</v>
      </c>
      <c r="C513" s="211" t="s">
        <v>1287</v>
      </c>
      <c r="D513" s="199"/>
      <c r="E513" s="211" t="s">
        <v>1322</v>
      </c>
      <c r="F513" s="211">
        <v>1406.67</v>
      </c>
      <c r="G513" s="211">
        <v>2500</v>
      </c>
      <c r="H513" s="204">
        <v>3000</v>
      </c>
      <c r="I513" s="205">
        <f t="shared" si="2"/>
        <v>1688.0039999999999</v>
      </c>
    </row>
    <row r="514" spans="1:9" hidden="1" x14ac:dyDescent="0.3">
      <c r="A514" s="211" t="s">
        <v>1323</v>
      </c>
      <c r="B514" s="211" t="s">
        <v>1324</v>
      </c>
      <c r="C514" s="211" t="s">
        <v>1287</v>
      </c>
      <c r="D514" s="199"/>
      <c r="E514" s="211" t="s">
        <v>1325</v>
      </c>
      <c r="F514" s="211">
        <v>226.23</v>
      </c>
      <c r="G514" s="211">
        <v>0</v>
      </c>
      <c r="H514" s="204">
        <v>0</v>
      </c>
      <c r="I514" s="205">
        <f t="shared" si="2"/>
        <v>271.476</v>
      </c>
    </row>
    <row r="515" spans="1:9" hidden="1" x14ac:dyDescent="0.3">
      <c r="A515" s="211" t="s">
        <v>1326</v>
      </c>
      <c r="B515" s="211" t="s">
        <v>422</v>
      </c>
      <c r="C515" s="211" t="s">
        <v>1287</v>
      </c>
      <c r="D515" s="199"/>
      <c r="E515" s="211" t="s">
        <v>1327</v>
      </c>
      <c r="F515" s="211">
        <v>8497.2000000000007</v>
      </c>
      <c r="G515" s="211">
        <v>1666.7</v>
      </c>
      <c r="H515" s="204">
        <v>2000.0400000000002</v>
      </c>
      <c r="I515" s="205">
        <f t="shared" si="2"/>
        <v>10196.64</v>
      </c>
    </row>
    <row r="516" spans="1:9" hidden="1" x14ac:dyDescent="0.3">
      <c r="A516" s="211" t="s">
        <v>1328</v>
      </c>
      <c r="B516" s="211" t="s">
        <v>280</v>
      </c>
      <c r="C516" s="211" t="s">
        <v>1287</v>
      </c>
      <c r="D516" s="199"/>
      <c r="E516" s="211" t="s">
        <v>1329</v>
      </c>
      <c r="F516" s="211">
        <v>1124.5999999999999</v>
      </c>
      <c r="G516" s="211">
        <v>2500</v>
      </c>
      <c r="H516" s="204">
        <v>3000</v>
      </c>
      <c r="I516" s="205">
        <f t="shared" si="2"/>
        <v>1349.52</v>
      </c>
    </row>
    <row r="517" spans="1:9" hidden="1" x14ac:dyDescent="0.3">
      <c r="A517" s="211" t="s">
        <v>1330</v>
      </c>
      <c r="B517" s="211" t="s">
        <v>303</v>
      </c>
      <c r="C517" s="211" t="s">
        <v>1287</v>
      </c>
      <c r="D517" s="199"/>
      <c r="E517" s="211" t="s">
        <v>1331</v>
      </c>
      <c r="F517" s="211">
        <v>2259.9899999999998</v>
      </c>
      <c r="G517" s="211">
        <v>0</v>
      </c>
      <c r="H517" s="204">
        <v>0</v>
      </c>
      <c r="I517" s="205">
        <f t="shared" si="2"/>
        <v>2711.9879999999994</v>
      </c>
    </row>
    <row r="518" spans="1:9" hidden="1" x14ac:dyDescent="0.3">
      <c r="A518" s="211" t="s">
        <v>1332</v>
      </c>
      <c r="B518" s="211" t="s">
        <v>280</v>
      </c>
      <c r="C518" s="211" t="s">
        <v>1287</v>
      </c>
      <c r="D518" s="199"/>
      <c r="E518" s="211" t="s">
        <v>1333</v>
      </c>
      <c r="F518" s="211">
        <v>5078.3500000000004</v>
      </c>
      <c r="G518" s="211">
        <v>24716.7</v>
      </c>
      <c r="H518" s="204">
        <v>29660.04</v>
      </c>
      <c r="I518" s="205">
        <f t="shared" si="2"/>
        <v>6094.02</v>
      </c>
    </row>
    <row r="519" spans="1:9" hidden="1" x14ac:dyDescent="0.3">
      <c r="A519" s="211" t="s">
        <v>1334</v>
      </c>
      <c r="B519" s="211" t="s">
        <v>280</v>
      </c>
      <c r="C519" s="211" t="s">
        <v>1287</v>
      </c>
      <c r="D519" s="199"/>
      <c r="E519" s="211" t="s">
        <v>1335</v>
      </c>
      <c r="F519" s="211">
        <v>7250.4</v>
      </c>
      <c r="G519" s="211">
        <v>2500</v>
      </c>
      <c r="H519" s="204">
        <v>3000</v>
      </c>
      <c r="I519" s="205">
        <f t="shared" si="2"/>
        <v>8700.48</v>
      </c>
    </row>
    <row r="520" spans="1:9" hidden="1" x14ac:dyDescent="0.3">
      <c r="A520" s="211" t="s">
        <v>1336</v>
      </c>
      <c r="B520" s="211" t="s">
        <v>280</v>
      </c>
      <c r="C520" s="211" t="s">
        <v>1287</v>
      </c>
      <c r="D520" s="199"/>
      <c r="E520" s="211" t="s">
        <v>1337</v>
      </c>
      <c r="F520" s="211">
        <v>12639.69</v>
      </c>
      <c r="G520" s="211">
        <v>2500</v>
      </c>
      <c r="H520" s="204">
        <v>3000</v>
      </c>
      <c r="I520" s="205">
        <f t="shared" si="2"/>
        <v>15167.628000000001</v>
      </c>
    </row>
    <row r="521" spans="1:9" hidden="1" x14ac:dyDescent="0.3">
      <c r="A521" s="211" t="s">
        <v>1338</v>
      </c>
      <c r="B521" s="211" t="s">
        <v>280</v>
      </c>
      <c r="C521" s="211" t="s">
        <v>1287</v>
      </c>
      <c r="D521" s="199"/>
      <c r="E521" s="211" t="s">
        <v>1339</v>
      </c>
      <c r="F521" s="211">
        <v>4484.46</v>
      </c>
      <c r="G521" s="211">
        <v>4166.7</v>
      </c>
      <c r="H521" s="204">
        <v>5000.0399999999991</v>
      </c>
      <c r="I521" s="205">
        <f t="shared" si="2"/>
        <v>5381.3520000000008</v>
      </c>
    </row>
    <row r="522" spans="1:9" hidden="1" x14ac:dyDescent="0.3">
      <c r="A522" s="211" t="s">
        <v>1340</v>
      </c>
      <c r="B522" s="211" t="s">
        <v>280</v>
      </c>
      <c r="C522" s="211" t="s">
        <v>1287</v>
      </c>
      <c r="D522" s="199"/>
      <c r="E522" s="211" t="s">
        <v>1341</v>
      </c>
      <c r="F522" s="211">
        <v>3476.8</v>
      </c>
      <c r="G522" s="211">
        <v>4166.7</v>
      </c>
      <c r="H522" s="204">
        <v>5000.0399999999991</v>
      </c>
      <c r="I522" s="205">
        <f t="shared" si="2"/>
        <v>4172.16</v>
      </c>
    </row>
    <row r="523" spans="1:9" hidden="1" x14ac:dyDescent="0.3">
      <c r="A523" s="211" t="s">
        <v>1342</v>
      </c>
      <c r="B523" s="211" t="s">
        <v>303</v>
      </c>
      <c r="C523" s="211" t="s">
        <v>1287</v>
      </c>
      <c r="D523" s="199"/>
      <c r="E523" s="211" t="s">
        <v>1343</v>
      </c>
      <c r="F523" s="211">
        <v>1342.56</v>
      </c>
      <c r="G523" s="211">
        <v>833.3</v>
      </c>
      <c r="H523" s="204">
        <v>999.96</v>
      </c>
      <c r="I523" s="205">
        <f t="shared" si="2"/>
        <v>1611.0720000000001</v>
      </c>
    </row>
    <row r="524" spans="1:9" hidden="1" x14ac:dyDescent="0.3">
      <c r="A524" s="211" t="s">
        <v>1344</v>
      </c>
      <c r="B524" s="211" t="s">
        <v>280</v>
      </c>
      <c r="C524" s="211" t="s">
        <v>1287</v>
      </c>
      <c r="D524" s="199"/>
      <c r="E524" s="211" t="s">
        <v>1345</v>
      </c>
      <c r="F524" s="211">
        <v>14712.73</v>
      </c>
      <c r="G524" s="211">
        <v>6250</v>
      </c>
      <c r="H524" s="204">
        <v>7500</v>
      </c>
      <c r="I524" s="205">
        <f t="shared" si="2"/>
        <v>17655.275999999998</v>
      </c>
    </row>
    <row r="525" spans="1:9" hidden="1" x14ac:dyDescent="0.3">
      <c r="A525" s="211" t="s">
        <v>1346</v>
      </c>
      <c r="B525" s="211" t="s">
        <v>283</v>
      </c>
      <c r="C525" s="211" t="s">
        <v>1287</v>
      </c>
      <c r="D525" s="199"/>
      <c r="E525" s="211" t="s">
        <v>1347</v>
      </c>
      <c r="F525" s="211">
        <v>132.69999999999999</v>
      </c>
      <c r="G525" s="211">
        <v>0</v>
      </c>
      <c r="H525" s="204">
        <v>0</v>
      </c>
      <c r="I525" s="205">
        <f t="shared" si="2"/>
        <v>159.24</v>
      </c>
    </row>
    <row r="526" spans="1:9" hidden="1" x14ac:dyDescent="0.3">
      <c r="A526" s="211" t="s">
        <v>1348</v>
      </c>
      <c r="B526" s="211" t="s">
        <v>287</v>
      </c>
      <c r="C526" s="211" t="s">
        <v>1287</v>
      </c>
      <c r="D526" s="199"/>
      <c r="E526" s="211" t="s">
        <v>1349</v>
      </c>
      <c r="F526" s="211">
        <v>7232.14</v>
      </c>
      <c r="G526" s="211">
        <v>36234.199999999997</v>
      </c>
      <c r="H526" s="204">
        <v>43481.039999999994</v>
      </c>
      <c r="I526" s="205">
        <f t="shared" si="2"/>
        <v>8678.5680000000011</v>
      </c>
    </row>
    <row r="527" spans="1:9" hidden="1" x14ac:dyDescent="0.3">
      <c r="A527" s="211" t="s">
        <v>1350</v>
      </c>
      <c r="B527" s="211" t="s">
        <v>287</v>
      </c>
      <c r="C527" s="211" t="s">
        <v>1287</v>
      </c>
      <c r="D527" s="199"/>
      <c r="E527" s="211" t="s">
        <v>1351</v>
      </c>
      <c r="F527" s="211">
        <v>916.49</v>
      </c>
      <c r="G527" s="211">
        <v>0</v>
      </c>
      <c r="H527" s="204">
        <v>0</v>
      </c>
      <c r="I527" s="205">
        <f t="shared" si="2"/>
        <v>1099.788</v>
      </c>
    </row>
    <row r="528" spans="1:9" hidden="1" x14ac:dyDescent="0.3">
      <c r="A528" s="211" t="s">
        <v>1352</v>
      </c>
      <c r="B528" s="211" t="s">
        <v>287</v>
      </c>
      <c r="C528" s="211" t="s">
        <v>1287</v>
      </c>
      <c r="D528" s="199"/>
      <c r="E528" s="211" t="s">
        <v>1353</v>
      </c>
      <c r="F528" s="211">
        <v>1468.26</v>
      </c>
      <c r="G528" s="211">
        <v>0</v>
      </c>
      <c r="H528" s="204">
        <v>0</v>
      </c>
      <c r="I528" s="205">
        <f t="shared" si="2"/>
        <v>1761.9119999999998</v>
      </c>
    </row>
    <row r="529" spans="1:11" hidden="1" x14ac:dyDescent="0.3">
      <c r="A529" s="211" t="s">
        <v>1354</v>
      </c>
      <c r="B529" s="211" t="s">
        <v>287</v>
      </c>
      <c r="C529" s="211" t="s">
        <v>1287</v>
      </c>
      <c r="D529" s="199"/>
      <c r="E529" s="211" t="s">
        <v>1355</v>
      </c>
      <c r="F529" s="211">
        <v>296.24</v>
      </c>
      <c r="G529" s="211">
        <v>0</v>
      </c>
      <c r="H529" s="204">
        <v>0</v>
      </c>
      <c r="I529" s="205">
        <f t="shared" si="2"/>
        <v>355.48800000000006</v>
      </c>
    </row>
    <row r="530" spans="1:11" hidden="1" x14ac:dyDescent="0.3">
      <c r="A530" s="211" t="s">
        <v>1356</v>
      </c>
      <c r="B530" s="211" t="s">
        <v>287</v>
      </c>
      <c r="C530" s="211" t="s">
        <v>1287</v>
      </c>
      <c r="D530" s="199"/>
      <c r="E530" s="211" t="s">
        <v>1357</v>
      </c>
      <c r="F530" s="211">
        <v>6152.77</v>
      </c>
      <c r="G530" s="211">
        <v>0</v>
      </c>
      <c r="H530" s="204">
        <v>0</v>
      </c>
      <c r="I530" s="205">
        <f t="shared" si="2"/>
        <v>7383.3240000000005</v>
      </c>
    </row>
    <row r="531" spans="1:11" hidden="1" x14ac:dyDescent="0.3">
      <c r="A531" s="211" t="s">
        <v>1358</v>
      </c>
      <c r="B531" s="211" t="s">
        <v>287</v>
      </c>
      <c r="C531" s="211" t="s">
        <v>1287</v>
      </c>
      <c r="D531" s="199"/>
      <c r="E531" s="211" t="s">
        <v>1359</v>
      </c>
      <c r="F531" s="211">
        <v>1762.05</v>
      </c>
      <c r="G531" s="211">
        <v>0</v>
      </c>
      <c r="H531" s="204">
        <v>0</v>
      </c>
      <c r="I531" s="205">
        <f t="shared" si="2"/>
        <v>2114.46</v>
      </c>
    </row>
    <row r="532" spans="1:11" hidden="1" x14ac:dyDescent="0.3">
      <c r="A532" s="211" t="s">
        <v>1360</v>
      </c>
      <c r="B532" s="211" t="s">
        <v>287</v>
      </c>
      <c r="C532" s="211" t="s">
        <v>1287</v>
      </c>
      <c r="D532" s="199"/>
      <c r="E532" s="211" t="s">
        <v>1361</v>
      </c>
      <c r="F532" s="211">
        <v>175</v>
      </c>
      <c r="G532" s="211">
        <v>0</v>
      </c>
      <c r="H532" s="204">
        <v>0</v>
      </c>
      <c r="I532" s="205">
        <f t="shared" si="2"/>
        <v>210</v>
      </c>
    </row>
    <row r="533" spans="1:11" hidden="1" x14ac:dyDescent="0.3">
      <c r="A533" s="211" t="s">
        <v>1362</v>
      </c>
      <c r="B533" s="211" t="s">
        <v>412</v>
      </c>
      <c r="C533" s="211" t="s">
        <v>1287</v>
      </c>
      <c r="D533" s="199"/>
      <c r="E533" s="211" t="s">
        <v>1363</v>
      </c>
      <c r="F533" s="211">
        <v>1716.98</v>
      </c>
      <c r="G533" s="211">
        <v>4166.7</v>
      </c>
      <c r="H533" s="204">
        <v>5000.0399999999991</v>
      </c>
      <c r="I533" s="205">
        <f t="shared" si="2"/>
        <v>2060.3760000000002</v>
      </c>
    </row>
    <row r="534" spans="1:11" hidden="1" x14ac:dyDescent="0.3">
      <c r="A534" s="211" t="s">
        <v>1364</v>
      </c>
      <c r="B534" s="211" t="s">
        <v>306</v>
      </c>
      <c r="C534" s="211" t="s">
        <v>1287</v>
      </c>
      <c r="D534" s="199"/>
      <c r="E534" s="211" t="s">
        <v>1365</v>
      </c>
      <c r="F534" s="211">
        <v>2805.33</v>
      </c>
      <c r="G534" s="211">
        <v>58522.5</v>
      </c>
      <c r="H534" s="204">
        <v>70227</v>
      </c>
      <c r="I534" s="205">
        <f t="shared" si="2"/>
        <v>3366.3960000000002</v>
      </c>
    </row>
    <row r="535" spans="1:11" hidden="1" x14ac:dyDescent="0.3">
      <c r="A535" s="211" t="s">
        <v>1366</v>
      </c>
      <c r="B535" s="211" t="s">
        <v>558</v>
      </c>
      <c r="C535" s="211" t="s">
        <v>1287</v>
      </c>
      <c r="D535" s="199"/>
      <c r="E535" s="211" t="s">
        <v>1367</v>
      </c>
      <c r="F535" s="211">
        <v>9111.41</v>
      </c>
      <c r="G535" s="211">
        <v>1666.7</v>
      </c>
      <c r="H535" s="204">
        <v>2000.0400000000002</v>
      </c>
      <c r="I535" s="205">
        <f t="shared" si="2"/>
        <v>10933.691999999999</v>
      </c>
    </row>
    <row r="536" spans="1:11" hidden="1" x14ac:dyDescent="0.3">
      <c r="A536" s="211" t="s">
        <v>1368</v>
      </c>
      <c r="B536" s="211" t="s">
        <v>290</v>
      </c>
      <c r="C536" s="211" t="s">
        <v>1287</v>
      </c>
      <c r="D536" s="199"/>
      <c r="E536" s="211" t="s">
        <v>1369</v>
      </c>
      <c r="F536" s="211">
        <v>683.93</v>
      </c>
      <c r="G536" s="211">
        <v>0</v>
      </c>
      <c r="H536" s="204">
        <v>0</v>
      </c>
      <c r="I536" s="205">
        <f t="shared" si="2"/>
        <v>820.71600000000001</v>
      </c>
    </row>
    <row r="537" spans="1:11" hidden="1" x14ac:dyDescent="0.3">
      <c r="A537" s="211" t="s">
        <v>1370</v>
      </c>
      <c r="B537" s="211" t="s">
        <v>412</v>
      </c>
      <c r="C537" s="211" t="s">
        <v>1287</v>
      </c>
      <c r="D537" s="199"/>
      <c r="E537" s="256" t="s">
        <v>1371</v>
      </c>
      <c r="F537" s="211">
        <v>96.76</v>
      </c>
      <c r="G537" s="211">
        <v>0</v>
      </c>
      <c r="H537" s="204">
        <v>0</v>
      </c>
      <c r="I537" s="205">
        <f t="shared" si="2"/>
        <v>116.11199999999999</v>
      </c>
      <c r="K537" s="259">
        <f>SUM(I495:I537)</f>
        <v>233126.04000000004</v>
      </c>
    </row>
    <row r="538" spans="1:11" hidden="1" x14ac:dyDescent="0.3">
      <c r="A538" s="211" t="s">
        <v>1372</v>
      </c>
      <c r="B538" s="211" t="s">
        <v>490</v>
      </c>
      <c r="C538" s="211" t="s">
        <v>1373</v>
      </c>
      <c r="D538" s="199"/>
      <c r="E538" s="211" t="s">
        <v>1374</v>
      </c>
      <c r="F538" s="211">
        <v>11626.23</v>
      </c>
      <c r="G538" s="211">
        <v>12500</v>
      </c>
      <c r="H538" s="204">
        <v>15000</v>
      </c>
      <c r="I538" s="205">
        <f t="shared" si="2"/>
        <v>13951.476000000001</v>
      </c>
    </row>
    <row r="539" spans="1:11" hidden="1" x14ac:dyDescent="0.3">
      <c r="A539" s="211" t="s">
        <v>1375</v>
      </c>
      <c r="B539" s="211" t="s">
        <v>251</v>
      </c>
      <c r="C539" s="211" t="s">
        <v>1376</v>
      </c>
      <c r="D539" s="199"/>
      <c r="E539" s="211" t="s">
        <v>1377</v>
      </c>
      <c r="F539" s="211">
        <v>28041.66</v>
      </c>
      <c r="G539" s="211">
        <v>25000</v>
      </c>
      <c r="H539" s="204">
        <v>30000</v>
      </c>
      <c r="I539" s="205">
        <f t="shared" si="2"/>
        <v>33649.991999999998</v>
      </c>
    </row>
    <row r="540" spans="1:11" hidden="1" x14ac:dyDescent="0.3">
      <c r="A540" s="211" t="s">
        <v>1378</v>
      </c>
      <c r="B540" s="211" t="s">
        <v>257</v>
      </c>
      <c r="C540" s="211" t="s">
        <v>1376</v>
      </c>
      <c r="D540" s="199"/>
      <c r="E540" s="211" t="s">
        <v>1379</v>
      </c>
      <c r="F540" s="211">
        <v>1784.23</v>
      </c>
      <c r="G540" s="211">
        <v>16666.7</v>
      </c>
      <c r="H540" s="204">
        <v>20000.04</v>
      </c>
      <c r="I540" s="205">
        <f t="shared" si="2"/>
        <v>2141.076</v>
      </c>
    </row>
    <row r="541" spans="1:11" hidden="1" x14ac:dyDescent="0.3">
      <c r="A541" s="211" t="s">
        <v>1380</v>
      </c>
      <c r="B541" s="211" t="s">
        <v>490</v>
      </c>
      <c r="C541" s="211" t="s">
        <v>1376</v>
      </c>
      <c r="D541" s="199"/>
      <c r="E541" s="211" t="s">
        <v>1381</v>
      </c>
      <c r="F541" s="211">
        <v>13070.19</v>
      </c>
      <c r="G541" s="211">
        <v>12500</v>
      </c>
      <c r="H541" s="204">
        <v>15000</v>
      </c>
      <c r="I541" s="205">
        <f t="shared" si="2"/>
        <v>15684.227999999999</v>
      </c>
    </row>
    <row r="542" spans="1:11" hidden="1" x14ac:dyDescent="0.3">
      <c r="A542" s="211" t="s">
        <v>1382</v>
      </c>
      <c r="B542" s="211" t="s">
        <v>558</v>
      </c>
      <c r="C542" s="211" t="s">
        <v>1373</v>
      </c>
      <c r="D542" s="199"/>
      <c r="E542" s="256" t="s">
        <v>1383</v>
      </c>
      <c r="F542" s="211">
        <v>3726.89</v>
      </c>
      <c r="G542" s="211">
        <v>6250</v>
      </c>
      <c r="H542" s="204">
        <v>7500</v>
      </c>
      <c r="I542" s="205">
        <f t="shared" si="2"/>
        <v>4472.268</v>
      </c>
      <c r="K542" s="259">
        <f>SUM(I538:I542)</f>
        <v>69899.039999999994</v>
      </c>
    </row>
    <row r="543" spans="1:11" hidden="1" x14ac:dyDescent="0.3">
      <c r="A543" s="211" t="s">
        <v>1384</v>
      </c>
      <c r="B543" s="211" t="s">
        <v>422</v>
      </c>
      <c r="C543" s="211" t="s">
        <v>1284</v>
      </c>
      <c r="D543" s="199"/>
      <c r="E543" s="211" t="s">
        <v>1385</v>
      </c>
      <c r="F543" s="211">
        <v>2787.66</v>
      </c>
      <c r="G543" s="211">
        <v>2500</v>
      </c>
      <c r="H543" s="204">
        <v>3000</v>
      </c>
      <c r="I543" s="205">
        <f t="shared" si="2"/>
        <v>3345.1919999999996</v>
      </c>
    </row>
    <row r="544" spans="1:11" hidden="1" x14ac:dyDescent="0.3">
      <c r="A544" s="211" t="s">
        <v>1386</v>
      </c>
      <c r="B544" s="211" t="s">
        <v>422</v>
      </c>
      <c r="C544" s="211" t="s">
        <v>1287</v>
      </c>
      <c r="D544" s="199"/>
      <c r="E544" s="211" t="s">
        <v>1387</v>
      </c>
      <c r="F544" s="211">
        <v>819.78</v>
      </c>
      <c r="G544" s="211">
        <v>2500</v>
      </c>
      <c r="H544" s="204">
        <v>3000</v>
      </c>
      <c r="I544" s="205">
        <f t="shared" si="2"/>
        <v>983.73599999999988</v>
      </c>
    </row>
    <row r="545" spans="1:11" hidden="1" x14ac:dyDescent="0.3">
      <c r="A545" s="211" t="s">
        <v>1388</v>
      </c>
      <c r="B545" s="211" t="s">
        <v>402</v>
      </c>
      <c r="C545" s="211" t="s">
        <v>1287</v>
      </c>
      <c r="D545" s="199"/>
      <c r="E545" s="211" t="s">
        <v>1389</v>
      </c>
      <c r="F545" s="211">
        <v>2010.51</v>
      </c>
      <c r="G545" s="211">
        <v>0</v>
      </c>
      <c r="H545" s="204">
        <v>0</v>
      </c>
      <c r="I545" s="205">
        <f t="shared" si="2"/>
        <v>2412.6120000000001</v>
      </c>
    </row>
    <row r="546" spans="1:11" hidden="1" x14ac:dyDescent="0.3">
      <c r="A546" s="211" t="s">
        <v>1390</v>
      </c>
      <c r="B546" s="211" t="s">
        <v>251</v>
      </c>
      <c r="C546" s="211" t="s">
        <v>1287</v>
      </c>
      <c r="D546" s="199"/>
      <c r="E546" s="211" t="s">
        <v>1391</v>
      </c>
      <c r="F546" s="211">
        <v>38081.5</v>
      </c>
      <c r="G546" s="211">
        <v>0</v>
      </c>
      <c r="H546" s="204">
        <v>0</v>
      </c>
      <c r="I546" s="205">
        <f t="shared" si="2"/>
        <v>45697.8</v>
      </c>
    </row>
    <row r="547" spans="1:11" hidden="1" x14ac:dyDescent="0.3">
      <c r="A547" s="211" t="s">
        <v>1392</v>
      </c>
      <c r="B547" s="211" t="s">
        <v>422</v>
      </c>
      <c r="C547" s="211" t="s">
        <v>1393</v>
      </c>
      <c r="D547" s="199"/>
      <c r="E547" s="211" t="s">
        <v>1394</v>
      </c>
      <c r="F547" s="211">
        <v>27641.06</v>
      </c>
      <c r="G547" s="211">
        <v>20833.3</v>
      </c>
      <c r="H547" s="204">
        <v>24999.96</v>
      </c>
      <c r="I547" s="205">
        <f t="shared" si="2"/>
        <v>33169.272000000004</v>
      </c>
    </row>
    <row r="548" spans="1:11" hidden="1" x14ac:dyDescent="0.3">
      <c r="A548" s="211" t="s">
        <v>1395</v>
      </c>
      <c r="B548" s="211" t="s">
        <v>422</v>
      </c>
      <c r="C548" s="211" t="s">
        <v>1393</v>
      </c>
      <c r="D548" s="199"/>
      <c r="E548" s="211" t="s">
        <v>1396</v>
      </c>
      <c r="F548" s="211">
        <v>6178.38</v>
      </c>
      <c r="G548" s="211">
        <v>4166.7</v>
      </c>
      <c r="H548" s="204">
        <v>5000.0399999999991</v>
      </c>
      <c r="I548" s="205">
        <f t="shared" si="2"/>
        <v>7414.0559999999996</v>
      </c>
    </row>
    <row r="549" spans="1:11" hidden="1" x14ac:dyDescent="0.3">
      <c r="A549" s="211" t="s">
        <v>1397</v>
      </c>
      <c r="B549" s="211" t="s">
        <v>251</v>
      </c>
      <c r="C549" s="211" t="s">
        <v>1393</v>
      </c>
      <c r="D549" s="199"/>
      <c r="E549" s="211" t="s">
        <v>1398</v>
      </c>
      <c r="F549" s="211">
        <v>3742.92</v>
      </c>
      <c r="G549" s="211">
        <v>4166.7</v>
      </c>
      <c r="H549" s="204">
        <v>5000.0399999999991</v>
      </c>
      <c r="I549" s="205">
        <f t="shared" si="2"/>
        <v>4491.5040000000008</v>
      </c>
    </row>
    <row r="550" spans="1:11" hidden="1" x14ac:dyDescent="0.3">
      <c r="A550" s="211" t="s">
        <v>1399</v>
      </c>
      <c r="B550" s="211" t="s">
        <v>490</v>
      </c>
      <c r="C550" s="211" t="s">
        <v>1393</v>
      </c>
      <c r="D550" s="199"/>
      <c r="E550" s="211" t="s">
        <v>1400</v>
      </c>
      <c r="F550" s="211">
        <v>1584.51</v>
      </c>
      <c r="G550" s="211">
        <v>1666.7</v>
      </c>
      <c r="H550" s="204">
        <v>2000.0400000000002</v>
      </c>
      <c r="I550" s="205">
        <f t="shared" si="2"/>
        <v>1901.4119999999998</v>
      </c>
    </row>
    <row r="551" spans="1:11" hidden="1" x14ac:dyDescent="0.3">
      <c r="A551" s="211" t="s">
        <v>1401</v>
      </c>
      <c r="B551" s="211" t="s">
        <v>422</v>
      </c>
      <c r="C551" s="211" t="s">
        <v>1393</v>
      </c>
      <c r="D551" s="199"/>
      <c r="E551" s="211" t="s">
        <v>1402</v>
      </c>
      <c r="F551" s="211">
        <v>3666.11</v>
      </c>
      <c r="G551" s="211">
        <v>2500</v>
      </c>
      <c r="H551" s="204">
        <v>3000</v>
      </c>
      <c r="I551" s="205">
        <f t="shared" si="2"/>
        <v>4399.3320000000003</v>
      </c>
    </row>
    <row r="552" spans="1:11" hidden="1" x14ac:dyDescent="0.3">
      <c r="A552" s="211" t="s">
        <v>1403</v>
      </c>
      <c r="B552" s="211" t="s">
        <v>412</v>
      </c>
      <c r="C552" s="211" t="s">
        <v>1393</v>
      </c>
      <c r="D552" s="199"/>
      <c r="E552" s="256" t="s">
        <v>1404</v>
      </c>
      <c r="F552" s="211">
        <v>12024.45</v>
      </c>
      <c r="G552" s="211">
        <v>8333.2999999999993</v>
      </c>
      <c r="H552" s="204">
        <v>9999.9599999999991</v>
      </c>
      <c r="I552" s="205">
        <f t="shared" si="2"/>
        <v>14429.340000000002</v>
      </c>
      <c r="K552" s="259">
        <f>SUM(I543:I552)</f>
        <v>118244.25599999999</v>
      </c>
    </row>
    <row r="553" spans="1:11" hidden="1" x14ac:dyDescent="0.3">
      <c r="A553" s="211" t="s">
        <v>1405</v>
      </c>
      <c r="B553" s="211" t="s">
        <v>422</v>
      </c>
      <c r="C553" s="211" t="s">
        <v>1393</v>
      </c>
      <c r="D553" s="199"/>
      <c r="E553" s="211" t="s">
        <v>1406</v>
      </c>
      <c r="F553" s="211">
        <v>834.75</v>
      </c>
      <c r="G553" s="211">
        <v>0</v>
      </c>
      <c r="H553" s="204">
        <v>0</v>
      </c>
      <c r="I553" s="205">
        <f t="shared" ref="I553:I616" si="3">+F553/10*12</f>
        <v>1001.6999999999999</v>
      </c>
    </row>
    <row r="554" spans="1:11" hidden="1" x14ac:dyDescent="0.3">
      <c r="A554" s="211" t="s">
        <v>1407</v>
      </c>
      <c r="B554" s="211" t="s">
        <v>460</v>
      </c>
      <c r="C554" s="211" t="s">
        <v>1393</v>
      </c>
      <c r="D554" s="199"/>
      <c r="E554" s="211" t="s">
        <v>1408</v>
      </c>
      <c r="F554" s="211">
        <v>107527.56</v>
      </c>
      <c r="G554" s="211">
        <v>20833.3</v>
      </c>
      <c r="H554" s="204">
        <v>24999.96</v>
      </c>
      <c r="I554" s="205">
        <f t="shared" si="3"/>
        <v>129033.07199999999</v>
      </c>
    </row>
    <row r="555" spans="1:11" hidden="1" x14ac:dyDescent="0.3">
      <c r="A555" s="211" t="s">
        <v>1409</v>
      </c>
      <c r="B555" s="211" t="s">
        <v>422</v>
      </c>
      <c r="C555" s="211" t="s">
        <v>1393</v>
      </c>
      <c r="D555" s="199"/>
      <c r="E555" s="211" t="s">
        <v>1410</v>
      </c>
      <c r="F555" s="211">
        <v>368.98</v>
      </c>
      <c r="G555" s="211">
        <v>0</v>
      </c>
      <c r="H555" s="204">
        <v>0</v>
      </c>
      <c r="I555" s="205">
        <f t="shared" si="3"/>
        <v>442.77600000000007</v>
      </c>
    </row>
    <row r="556" spans="1:11" hidden="1" x14ac:dyDescent="0.3">
      <c r="A556" s="211" t="s">
        <v>1411</v>
      </c>
      <c r="B556" s="211" t="s">
        <v>287</v>
      </c>
      <c r="C556" s="211" t="s">
        <v>1393</v>
      </c>
      <c r="D556" s="199"/>
      <c r="E556" s="211" t="s">
        <v>1412</v>
      </c>
      <c r="F556" s="211">
        <v>170.54</v>
      </c>
      <c r="G556" s="211">
        <v>0</v>
      </c>
      <c r="H556" s="204">
        <v>0</v>
      </c>
      <c r="I556" s="205">
        <f t="shared" si="3"/>
        <v>204.64799999999997</v>
      </c>
    </row>
    <row r="557" spans="1:11" hidden="1" x14ac:dyDescent="0.3">
      <c r="A557" s="211" t="s">
        <v>1413</v>
      </c>
      <c r="B557" s="211" t="s">
        <v>290</v>
      </c>
      <c r="C557" s="211" t="s">
        <v>1393</v>
      </c>
      <c r="D557" s="199"/>
      <c r="E557" s="211" t="s">
        <v>1414</v>
      </c>
      <c r="F557" s="211">
        <v>56.11</v>
      </c>
      <c r="G557" s="211">
        <v>0</v>
      </c>
      <c r="H557" s="204">
        <v>0</v>
      </c>
      <c r="I557" s="205">
        <f t="shared" si="3"/>
        <v>67.331999999999994</v>
      </c>
    </row>
    <row r="558" spans="1:11" hidden="1" x14ac:dyDescent="0.3">
      <c r="A558" s="211" t="s">
        <v>1415</v>
      </c>
      <c r="B558" s="211" t="s">
        <v>412</v>
      </c>
      <c r="C558" s="211" t="s">
        <v>1393</v>
      </c>
      <c r="D558" s="199"/>
      <c r="E558" s="256" t="s">
        <v>1416</v>
      </c>
      <c r="F558" s="211">
        <v>1409.16</v>
      </c>
      <c r="G558" s="211">
        <v>0</v>
      </c>
      <c r="H558" s="204">
        <v>0</v>
      </c>
      <c r="I558" s="205">
        <f t="shared" si="3"/>
        <v>1690.992</v>
      </c>
      <c r="K558" s="259">
        <f>SUM(I553:I558)</f>
        <v>132440.51999999999</v>
      </c>
    </row>
    <row r="559" spans="1:11" hidden="1" x14ac:dyDescent="0.3">
      <c r="A559" s="211" t="s">
        <v>1417</v>
      </c>
      <c r="B559" s="211" t="s">
        <v>257</v>
      </c>
      <c r="C559" s="211" t="s">
        <v>1418</v>
      </c>
      <c r="D559" s="199"/>
      <c r="E559" s="211" t="s">
        <v>1419</v>
      </c>
      <c r="F559" s="211">
        <v>690.32</v>
      </c>
      <c r="G559" s="211">
        <v>0</v>
      </c>
      <c r="H559" s="204">
        <v>0</v>
      </c>
      <c r="I559" s="205">
        <f t="shared" si="3"/>
        <v>828.38400000000013</v>
      </c>
    </row>
    <row r="560" spans="1:11" hidden="1" x14ac:dyDescent="0.3">
      <c r="A560" s="211" t="s">
        <v>1420</v>
      </c>
      <c r="B560" s="211" t="s">
        <v>280</v>
      </c>
      <c r="C560" s="211" t="s">
        <v>1418</v>
      </c>
      <c r="D560" s="199"/>
      <c r="E560" s="211" t="s">
        <v>1421</v>
      </c>
      <c r="F560" s="211">
        <v>1275.3399999999999</v>
      </c>
      <c r="G560" s="211">
        <v>0</v>
      </c>
      <c r="H560" s="204">
        <v>0</v>
      </c>
      <c r="I560" s="205">
        <f t="shared" si="3"/>
        <v>1530.4079999999999</v>
      </c>
    </row>
    <row r="561" spans="1:9" hidden="1" x14ac:dyDescent="0.3">
      <c r="A561" s="211" t="s">
        <v>1422</v>
      </c>
      <c r="B561" s="211" t="s">
        <v>1423</v>
      </c>
      <c r="C561" s="211" t="s">
        <v>1418</v>
      </c>
      <c r="D561" s="199"/>
      <c r="E561" s="211" t="s">
        <v>1424</v>
      </c>
      <c r="F561" s="211">
        <v>0</v>
      </c>
      <c r="G561" s="211">
        <v>12500</v>
      </c>
      <c r="H561" s="204">
        <v>15000</v>
      </c>
      <c r="I561" s="205">
        <f t="shared" si="3"/>
        <v>0</v>
      </c>
    </row>
    <row r="562" spans="1:9" hidden="1" x14ac:dyDescent="0.3">
      <c r="A562" s="211" t="s">
        <v>1425</v>
      </c>
      <c r="B562" s="211" t="s">
        <v>1423</v>
      </c>
      <c r="C562" s="211" t="s">
        <v>1418</v>
      </c>
      <c r="D562" s="199"/>
      <c r="E562" s="211" t="s">
        <v>1426</v>
      </c>
      <c r="F562" s="211">
        <v>3358.24</v>
      </c>
      <c r="G562" s="211">
        <v>0</v>
      </c>
      <c r="H562" s="204">
        <v>0</v>
      </c>
      <c r="I562" s="205">
        <f t="shared" si="3"/>
        <v>4029.8879999999995</v>
      </c>
    </row>
    <row r="563" spans="1:9" hidden="1" x14ac:dyDescent="0.3">
      <c r="A563" s="211" t="s">
        <v>1427</v>
      </c>
      <c r="B563" s="211" t="s">
        <v>1423</v>
      </c>
      <c r="C563" s="211" t="s">
        <v>1418</v>
      </c>
      <c r="D563" s="199"/>
      <c r="E563" s="211" t="s">
        <v>1428</v>
      </c>
      <c r="F563" s="211">
        <v>2301.25</v>
      </c>
      <c r="G563" s="211">
        <v>0</v>
      </c>
      <c r="H563" s="204">
        <v>0</v>
      </c>
      <c r="I563" s="205">
        <f t="shared" si="3"/>
        <v>2761.5</v>
      </c>
    </row>
    <row r="564" spans="1:9" hidden="1" x14ac:dyDescent="0.3">
      <c r="A564" s="211" t="s">
        <v>1429</v>
      </c>
      <c r="B564" s="211" t="s">
        <v>1430</v>
      </c>
      <c r="C564" s="211" t="s">
        <v>1418</v>
      </c>
      <c r="D564" s="199"/>
      <c r="E564" s="211" t="s">
        <v>1431</v>
      </c>
      <c r="F564" s="211">
        <v>1845.89</v>
      </c>
      <c r="G564" s="211">
        <v>0</v>
      </c>
      <c r="H564" s="204">
        <v>0</v>
      </c>
      <c r="I564" s="205">
        <f t="shared" si="3"/>
        <v>2215.0680000000002</v>
      </c>
    </row>
    <row r="565" spans="1:9" hidden="1" x14ac:dyDescent="0.3">
      <c r="A565" s="211" t="s">
        <v>1432</v>
      </c>
      <c r="B565" s="211" t="s">
        <v>251</v>
      </c>
      <c r="C565" s="211" t="s">
        <v>1418</v>
      </c>
      <c r="D565" s="199"/>
      <c r="E565" s="211" t="s">
        <v>1433</v>
      </c>
      <c r="F565" s="211">
        <v>9785.4599999999991</v>
      </c>
      <c r="G565" s="211">
        <v>0</v>
      </c>
      <c r="H565" s="204">
        <v>0</v>
      </c>
      <c r="I565" s="205">
        <f t="shared" si="3"/>
        <v>11742.552</v>
      </c>
    </row>
    <row r="566" spans="1:9" hidden="1" x14ac:dyDescent="0.3">
      <c r="A566" s="211" t="s">
        <v>1434</v>
      </c>
      <c r="B566" s="211" t="s">
        <v>257</v>
      </c>
      <c r="C566" s="211" t="s">
        <v>1418</v>
      </c>
      <c r="D566" s="199"/>
      <c r="E566" s="211" t="s">
        <v>1435</v>
      </c>
      <c r="F566" s="211">
        <v>6283.57</v>
      </c>
      <c r="G566" s="211">
        <v>0</v>
      </c>
      <c r="H566" s="204">
        <v>0</v>
      </c>
      <c r="I566" s="205">
        <f t="shared" si="3"/>
        <v>7540.2839999999997</v>
      </c>
    </row>
    <row r="567" spans="1:9" hidden="1" x14ac:dyDescent="0.3">
      <c r="A567" s="211" t="s">
        <v>1436</v>
      </c>
      <c r="B567" s="211" t="s">
        <v>1437</v>
      </c>
      <c r="C567" s="211" t="s">
        <v>1418</v>
      </c>
      <c r="D567" s="199"/>
      <c r="E567" s="211" t="s">
        <v>1438</v>
      </c>
      <c r="F567" s="211">
        <v>883.95</v>
      </c>
      <c r="G567" s="211">
        <v>0</v>
      </c>
      <c r="H567" s="204">
        <v>0</v>
      </c>
      <c r="I567" s="205">
        <f t="shared" si="3"/>
        <v>1060.7400000000002</v>
      </c>
    </row>
    <row r="568" spans="1:9" hidden="1" x14ac:dyDescent="0.3">
      <c r="A568" s="211" t="s">
        <v>1439</v>
      </c>
      <c r="B568" s="211" t="s">
        <v>293</v>
      </c>
      <c r="C568" s="211" t="s">
        <v>1418</v>
      </c>
      <c r="D568" s="199"/>
      <c r="E568" s="211" t="s">
        <v>1440</v>
      </c>
      <c r="F568" s="211">
        <v>819.67</v>
      </c>
      <c r="G568" s="211">
        <v>0</v>
      </c>
      <c r="H568" s="204">
        <v>0</v>
      </c>
      <c r="I568" s="205">
        <f t="shared" si="3"/>
        <v>983.60400000000004</v>
      </c>
    </row>
    <row r="569" spans="1:9" hidden="1" x14ac:dyDescent="0.3">
      <c r="A569" s="211" t="s">
        <v>1441</v>
      </c>
      <c r="B569" s="211" t="s">
        <v>1437</v>
      </c>
      <c r="C569" s="211" t="s">
        <v>1418</v>
      </c>
      <c r="D569" s="199"/>
      <c r="E569" s="211" t="s">
        <v>1442</v>
      </c>
      <c r="F569" s="211">
        <v>0</v>
      </c>
      <c r="G569" s="211">
        <v>33333.300000000003</v>
      </c>
      <c r="H569" s="204">
        <v>39999.960000000006</v>
      </c>
      <c r="I569" s="205">
        <f t="shared" si="3"/>
        <v>0</v>
      </c>
    </row>
    <row r="570" spans="1:9" hidden="1" x14ac:dyDescent="0.3">
      <c r="A570" s="211" t="s">
        <v>1443</v>
      </c>
      <c r="B570" s="211" t="s">
        <v>1437</v>
      </c>
      <c r="C570" s="211" t="s">
        <v>1418</v>
      </c>
      <c r="D570" s="199"/>
      <c r="E570" s="211" t="s">
        <v>1444</v>
      </c>
      <c r="F570" s="211">
        <v>309.74</v>
      </c>
      <c r="G570" s="211">
        <v>0</v>
      </c>
      <c r="H570" s="204">
        <v>0</v>
      </c>
      <c r="I570" s="205">
        <f t="shared" si="3"/>
        <v>371.68799999999999</v>
      </c>
    </row>
    <row r="571" spans="1:9" hidden="1" x14ac:dyDescent="0.3">
      <c r="A571" s="211" t="s">
        <v>1445</v>
      </c>
      <c r="B571" s="211" t="s">
        <v>293</v>
      </c>
      <c r="C571" s="211" t="s">
        <v>1418</v>
      </c>
      <c r="D571" s="199"/>
      <c r="E571" s="211" t="s">
        <v>1446</v>
      </c>
      <c r="F571" s="211">
        <v>466.69</v>
      </c>
      <c r="G571" s="211">
        <v>0</v>
      </c>
      <c r="H571" s="204">
        <v>0</v>
      </c>
      <c r="I571" s="205">
        <f t="shared" si="3"/>
        <v>560.02800000000002</v>
      </c>
    </row>
    <row r="572" spans="1:9" hidden="1" x14ac:dyDescent="0.3">
      <c r="A572" s="211" t="s">
        <v>1447</v>
      </c>
      <c r="B572" s="211" t="s">
        <v>293</v>
      </c>
      <c r="C572" s="211" t="s">
        <v>1418</v>
      </c>
      <c r="D572" s="199"/>
      <c r="E572" s="211" t="s">
        <v>1448</v>
      </c>
      <c r="F572" s="211">
        <v>564.39</v>
      </c>
      <c r="G572" s="211">
        <v>0</v>
      </c>
      <c r="H572" s="204">
        <v>0</v>
      </c>
      <c r="I572" s="205">
        <f t="shared" si="3"/>
        <v>677.26800000000003</v>
      </c>
    </row>
    <row r="573" spans="1:9" hidden="1" x14ac:dyDescent="0.3">
      <c r="A573" s="211" t="s">
        <v>1449</v>
      </c>
      <c r="B573" s="211" t="s">
        <v>1437</v>
      </c>
      <c r="C573" s="211" t="s">
        <v>1418</v>
      </c>
      <c r="D573" s="199"/>
      <c r="E573" s="211" t="s">
        <v>1450</v>
      </c>
      <c r="F573" s="211">
        <v>1396.79</v>
      </c>
      <c r="G573" s="211">
        <v>0</v>
      </c>
      <c r="H573" s="204">
        <v>0</v>
      </c>
      <c r="I573" s="205">
        <f t="shared" si="3"/>
        <v>1676.1480000000001</v>
      </c>
    </row>
    <row r="574" spans="1:9" hidden="1" x14ac:dyDescent="0.3">
      <c r="A574" s="211" t="s">
        <v>1451</v>
      </c>
      <c r="B574" s="211" t="s">
        <v>293</v>
      </c>
      <c r="C574" s="211" t="s">
        <v>1418</v>
      </c>
      <c r="D574" s="199"/>
      <c r="E574" s="211" t="s">
        <v>1452</v>
      </c>
      <c r="F574" s="211">
        <v>570.63</v>
      </c>
      <c r="G574" s="211">
        <v>0</v>
      </c>
      <c r="H574" s="204">
        <v>0</v>
      </c>
      <c r="I574" s="205">
        <f t="shared" si="3"/>
        <v>684.75600000000009</v>
      </c>
    </row>
    <row r="575" spans="1:9" hidden="1" x14ac:dyDescent="0.3">
      <c r="A575" s="211" t="s">
        <v>1453</v>
      </c>
      <c r="B575" s="211" t="s">
        <v>1437</v>
      </c>
      <c r="C575" s="211" t="s">
        <v>1418</v>
      </c>
      <c r="D575" s="199"/>
      <c r="E575" s="211" t="s">
        <v>1454</v>
      </c>
      <c r="F575" s="211">
        <v>235.74</v>
      </c>
      <c r="G575" s="211">
        <v>0</v>
      </c>
      <c r="H575" s="204">
        <v>0</v>
      </c>
      <c r="I575" s="205">
        <f t="shared" si="3"/>
        <v>282.88800000000003</v>
      </c>
    </row>
    <row r="576" spans="1:9" hidden="1" x14ac:dyDescent="0.3">
      <c r="A576" s="211" t="s">
        <v>1455</v>
      </c>
      <c r="B576" s="211" t="s">
        <v>293</v>
      </c>
      <c r="C576" s="211" t="s">
        <v>1418</v>
      </c>
      <c r="D576" s="199"/>
      <c r="E576" s="211" t="s">
        <v>1456</v>
      </c>
      <c r="F576" s="211">
        <v>87.31</v>
      </c>
      <c r="G576" s="211">
        <v>0</v>
      </c>
      <c r="H576" s="204">
        <v>0</v>
      </c>
      <c r="I576" s="205">
        <f t="shared" si="3"/>
        <v>104.77199999999999</v>
      </c>
    </row>
    <row r="577" spans="1:11" hidden="1" x14ac:dyDescent="0.3">
      <c r="A577" s="211" t="s">
        <v>1457</v>
      </c>
      <c r="B577" s="211" t="s">
        <v>293</v>
      </c>
      <c r="C577" s="211" t="s">
        <v>1418</v>
      </c>
      <c r="D577" s="199"/>
      <c r="E577" s="211" t="s">
        <v>1458</v>
      </c>
      <c r="F577" s="211">
        <v>1557.02</v>
      </c>
      <c r="G577" s="211">
        <v>0</v>
      </c>
      <c r="H577" s="204">
        <v>0</v>
      </c>
      <c r="I577" s="205">
        <f t="shared" si="3"/>
        <v>1868.424</v>
      </c>
    </row>
    <row r="578" spans="1:11" hidden="1" x14ac:dyDescent="0.3">
      <c r="A578" s="211" t="s">
        <v>1459</v>
      </c>
      <c r="B578" s="211" t="s">
        <v>1437</v>
      </c>
      <c r="C578" s="211" t="s">
        <v>1418</v>
      </c>
      <c r="D578" s="199"/>
      <c r="E578" s="211" t="s">
        <v>1460</v>
      </c>
      <c r="F578" s="211">
        <v>735.9</v>
      </c>
      <c r="G578" s="211">
        <v>0</v>
      </c>
      <c r="H578" s="204">
        <v>0</v>
      </c>
      <c r="I578" s="205">
        <f t="shared" si="3"/>
        <v>883.08</v>
      </c>
    </row>
    <row r="579" spans="1:11" hidden="1" x14ac:dyDescent="0.3">
      <c r="A579" s="211" t="s">
        <v>1461</v>
      </c>
      <c r="B579" s="211" t="s">
        <v>293</v>
      </c>
      <c r="C579" s="211" t="s">
        <v>1418</v>
      </c>
      <c r="D579" s="199"/>
      <c r="E579" s="211" t="s">
        <v>1462</v>
      </c>
      <c r="F579" s="211">
        <v>591.41</v>
      </c>
      <c r="G579" s="211">
        <v>0</v>
      </c>
      <c r="H579" s="204">
        <v>0</v>
      </c>
      <c r="I579" s="205">
        <f t="shared" si="3"/>
        <v>709.69200000000001</v>
      </c>
    </row>
    <row r="580" spans="1:11" hidden="1" x14ac:dyDescent="0.3">
      <c r="A580" s="211" t="s">
        <v>1463</v>
      </c>
      <c r="B580" s="211" t="s">
        <v>280</v>
      </c>
      <c r="C580" s="211" t="s">
        <v>1418</v>
      </c>
      <c r="D580" s="199"/>
      <c r="E580" s="256" t="s">
        <v>1464</v>
      </c>
      <c r="F580" s="211">
        <v>72.75</v>
      </c>
      <c r="G580" s="211">
        <v>0</v>
      </c>
      <c r="H580" s="204">
        <v>0</v>
      </c>
      <c r="I580" s="205">
        <f t="shared" si="3"/>
        <v>87.300000000000011</v>
      </c>
    </row>
    <row r="581" spans="1:11" hidden="1" x14ac:dyDescent="0.3">
      <c r="A581" s="211" t="s">
        <v>1465</v>
      </c>
      <c r="B581" s="211" t="s">
        <v>1423</v>
      </c>
      <c r="C581" s="211" t="s">
        <v>1273</v>
      </c>
      <c r="D581" s="199"/>
      <c r="E581" s="256" t="s">
        <v>1464</v>
      </c>
      <c r="F581" s="211">
        <v>16598.18</v>
      </c>
      <c r="G581" s="211">
        <v>0</v>
      </c>
      <c r="H581" s="204">
        <v>0</v>
      </c>
      <c r="I581" s="205">
        <f t="shared" si="3"/>
        <v>19917.815999999999</v>
      </c>
    </row>
    <row r="582" spans="1:11" hidden="1" x14ac:dyDescent="0.3">
      <c r="A582" s="211" t="s">
        <v>1466</v>
      </c>
      <c r="B582" s="211" t="s">
        <v>511</v>
      </c>
      <c r="C582" s="211" t="s">
        <v>1273</v>
      </c>
      <c r="D582" s="199"/>
      <c r="E582" s="256" t="s">
        <v>1464</v>
      </c>
      <c r="F582" s="211">
        <v>-150</v>
      </c>
      <c r="G582" s="211">
        <v>0</v>
      </c>
      <c r="H582" s="204">
        <v>0</v>
      </c>
      <c r="I582" s="205">
        <f t="shared" si="3"/>
        <v>-180</v>
      </c>
    </row>
    <row r="583" spans="1:11" hidden="1" x14ac:dyDescent="0.3">
      <c r="A583" s="211" t="s">
        <v>1467</v>
      </c>
      <c r="B583" s="211" t="s">
        <v>1468</v>
      </c>
      <c r="C583" s="211" t="s">
        <v>1273</v>
      </c>
      <c r="D583" s="199"/>
      <c r="E583" s="256" t="s">
        <v>1464</v>
      </c>
      <c r="F583" s="211">
        <v>23690</v>
      </c>
      <c r="G583" s="211">
        <v>0</v>
      </c>
      <c r="H583" s="204">
        <v>0</v>
      </c>
      <c r="I583" s="205">
        <f t="shared" si="3"/>
        <v>28428</v>
      </c>
    </row>
    <row r="584" spans="1:11" hidden="1" x14ac:dyDescent="0.3">
      <c r="A584" s="211" t="s">
        <v>1469</v>
      </c>
      <c r="B584" s="211" t="s">
        <v>287</v>
      </c>
      <c r="C584" s="211" t="s">
        <v>1273</v>
      </c>
      <c r="D584" s="199"/>
      <c r="E584" s="256" t="s">
        <v>1464</v>
      </c>
      <c r="F584" s="211">
        <v>393.91</v>
      </c>
      <c r="G584" s="211">
        <v>0</v>
      </c>
      <c r="H584" s="204">
        <v>0</v>
      </c>
      <c r="I584" s="205">
        <f t="shared" si="3"/>
        <v>472.69200000000006</v>
      </c>
      <c r="K584" s="259">
        <f>SUM(I559:I584)</f>
        <v>89236.98</v>
      </c>
    </row>
    <row r="585" spans="1:11" hidden="1" x14ac:dyDescent="0.3">
      <c r="A585" s="211" t="s">
        <v>1470</v>
      </c>
      <c r="B585" s="211" t="s">
        <v>422</v>
      </c>
      <c r="C585" s="211" t="s">
        <v>1471</v>
      </c>
      <c r="D585" s="199"/>
      <c r="E585" s="211" t="s">
        <v>1472</v>
      </c>
      <c r="F585" s="211">
        <v>0</v>
      </c>
      <c r="G585" s="211">
        <v>6666.7</v>
      </c>
      <c r="H585" s="204">
        <v>8000.0399999999991</v>
      </c>
      <c r="I585" s="205">
        <f t="shared" si="3"/>
        <v>0</v>
      </c>
    </row>
    <row r="586" spans="1:11" hidden="1" x14ac:dyDescent="0.3">
      <c r="A586" s="211" t="s">
        <v>1473</v>
      </c>
      <c r="B586" s="211" t="s">
        <v>257</v>
      </c>
      <c r="C586" s="211" t="s">
        <v>1273</v>
      </c>
      <c r="D586" s="199"/>
      <c r="E586" s="211" t="s">
        <v>1474</v>
      </c>
      <c r="F586" s="211">
        <v>2808.59</v>
      </c>
      <c r="G586" s="211">
        <v>2100</v>
      </c>
      <c r="H586" s="204">
        <v>2520</v>
      </c>
      <c r="I586" s="205">
        <f t="shared" si="3"/>
        <v>3370.3080000000004</v>
      </c>
    </row>
    <row r="587" spans="1:11" hidden="1" x14ac:dyDescent="0.3">
      <c r="A587" s="211" t="s">
        <v>1475</v>
      </c>
      <c r="B587" s="211" t="s">
        <v>490</v>
      </c>
      <c r="C587" s="211" t="s">
        <v>1273</v>
      </c>
      <c r="D587" s="199"/>
      <c r="E587" s="211" t="s">
        <v>1476</v>
      </c>
      <c r="F587" s="211">
        <v>119.25</v>
      </c>
      <c r="G587" s="211">
        <v>250</v>
      </c>
      <c r="H587" s="204">
        <v>300</v>
      </c>
      <c r="I587" s="205">
        <f t="shared" si="3"/>
        <v>143.10000000000002</v>
      </c>
    </row>
    <row r="588" spans="1:11" hidden="1" x14ac:dyDescent="0.3">
      <c r="A588" s="211" t="s">
        <v>1477</v>
      </c>
      <c r="B588" s="211" t="s">
        <v>511</v>
      </c>
      <c r="C588" s="211" t="s">
        <v>1478</v>
      </c>
      <c r="D588" s="199"/>
      <c r="E588" s="211" t="s">
        <v>1479</v>
      </c>
      <c r="F588" s="211">
        <v>367.56</v>
      </c>
      <c r="G588" s="211">
        <v>416.7</v>
      </c>
      <c r="H588" s="204">
        <v>500.04</v>
      </c>
      <c r="I588" s="205">
        <f t="shared" si="3"/>
        <v>441.072</v>
      </c>
    </row>
    <row r="589" spans="1:11" hidden="1" x14ac:dyDescent="0.3">
      <c r="A589" s="211" t="s">
        <v>1480</v>
      </c>
      <c r="B589" s="211" t="s">
        <v>280</v>
      </c>
      <c r="C589" s="211" t="s">
        <v>1478</v>
      </c>
      <c r="D589" s="199"/>
      <c r="E589" s="211" t="s">
        <v>1481</v>
      </c>
      <c r="F589" s="211">
        <v>477</v>
      </c>
      <c r="G589" s="211">
        <v>250</v>
      </c>
      <c r="H589" s="204">
        <v>300</v>
      </c>
      <c r="I589" s="205">
        <f t="shared" si="3"/>
        <v>572.40000000000009</v>
      </c>
    </row>
    <row r="590" spans="1:11" hidden="1" x14ac:dyDescent="0.3">
      <c r="A590" s="211" t="s">
        <v>1482</v>
      </c>
      <c r="B590" s="211" t="s">
        <v>280</v>
      </c>
      <c r="C590" s="211" t="s">
        <v>1478</v>
      </c>
      <c r="D590" s="199"/>
      <c r="E590" s="211" t="s">
        <v>1483</v>
      </c>
      <c r="F590" s="211">
        <v>4373</v>
      </c>
      <c r="G590" s="211">
        <v>250</v>
      </c>
      <c r="H590" s="204">
        <v>300</v>
      </c>
      <c r="I590" s="205">
        <f t="shared" si="3"/>
        <v>5247.6</v>
      </c>
    </row>
    <row r="591" spans="1:11" hidden="1" x14ac:dyDescent="0.3">
      <c r="A591" s="211" t="s">
        <v>1484</v>
      </c>
      <c r="B591" s="211" t="s">
        <v>280</v>
      </c>
      <c r="C591" s="211" t="s">
        <v>1478</v>
      </c>
      <c r="D591" s="199"/>
      <c r="E591" s="211" t="s">
        <v>1485</v>
      </c>
      <c r="F591" s="211">
        <v>238.5</v>
      </c>
      <c r="G591" s="211">
        <v>3750</v>
      </c>
      <c r="H591" s="204">
        <v>4500</v>
      </c>
      <c r="I591" s="205">
        <f t="shared" si="3"/>
        <v>286.20000000000005</v>
      </c>
    </row>
    <row r="592" spans="1:11" hidden="1" x14ac:dyDescent="0.3">
      <c r="A592" s="211" t="s">
        <v>1486</v>
      </c>
      <c r="B592" s="211" t="s">
        <v>280</v>
      </c>
      <c r="C592" s="211" t="s">
        <v>1478</v>
      </c>
      <c r="D592" s="199"/>
      <c r="E592" s="211" t="s">
        <v>1487</v>
      </c>
      <c r="F592" s="211">
        <v>1192.5</v>
      </c>
      <c r="G592" s="211">
        <v>8333.2999999999993</v>
      </c>
      <c r="H592" s="204">
        <v>9999.9599999999991</v>
      </c>
      <c r="I592" s="205">
        <f t="shared" si="3"/>
        <v>1431</v>
      </c>
    </row>
    <row r="593" spans="1:11" hidden="1" x14ac:dyDescent="0.3">
      <c r="A593" s="211" t="s">
        <v>1488</v>
      </c>
      <c r="B593" s="211" t="s">
        <v>280</v>
      </c>
      <c r="C593" s="211" t="s">
        <v>1478</v>
      </c>
      <c r="D593" s="199"/>
      <c r="E593" s="211" t="s">
        <v>1489</v>
      </c>
      <c r="F593" s="211">
        <v>7822.36</v>
      </c>
      <c r="G593" s="211">
        <v>500</v>
      </c>
      <c r="H593" s="204">
        <v>600</v>
      </c>
      <c r="I593" s="205">
        <f t="shared" si="3"/>
        <v>9386.8320000000003</v>
      </c>
    </row>
    <row r="594" spans="1:11" hidden="1" x14ac:dyDescent="0.3">
      <c r="A594" s="211" t="s">
        <v>1490</v>
      </c>
      <c r="B594" s="211" t="s">
        <v>287</v>
      </c>
      <c r="C594" s="211" t="s">
        <v>1273</v>
      </c>
      <c r="D594" s="199"/>
      <c r="E594" s="211" t="s">
        <v>1491</v>
      </c>
      <c r="F594" s="211">
        <v>0</v>
      </c>
      <c r="G594" s="211">
        <v>3000</v>
      </c>
      <c r="H594" s="204">
        <v>3600</v>
      </c>
      <c r="I594" s="205">
        <f t="shared" si="3"/>
        <v>0</v>
      </c>
    </row>
    <row r="595" spans="1:11" hidden="1" x14ac:dyDescent="0.3">
      <c r="A595" s="211" t="s">
        <v>1492</v>
      </c>
      <c r="B595" s="211" t="s">
        <v>1493</v>
      </c>
      <c r="C595" s="211" t="s">
        <v>1478</v>
      </c>
      <c r="D595" s="199"/>
      <c r="E595" s="211" t="s">
        <v>1494</v>
      </c>
      <c r="F595" s="211">
        <v>2054.94</v>
      </c>
      <c r="G595" s="211">
        <v>1500</v>
      </c>
      <c r="H595" s="204">
        <v>1800</v>
      </c>
      <c r="I595" s="205">
        <f t="shared" si="3"/>
        <v>2465.9279999999999</v>
      </c>
    </row>
    <row r="596" spans="1:11" hidden="1" x14ac:dyDescent="0.3">
      <c r="A596" s="211" t="s">
        <v>1495</v>
      </c>
      <c r="B596" s="211" t="s">
        <v>412</v>
      </c>
      <c r="C596" s="211" t="s">
        <v>1496</v>
      </c>
      <c r="D596" s="199"/>
      <c r="E596" s="211" t="s">
        <v>1497</v>
      </c>
      <c r="F596" s="211">
        <v>0</v>
      </c>
      <c r="G596" s="211">
        <v>111105</v>
      </c>
      <c r="H596" s="204">
        <v>133326</v>
      </c>
      <c r="I596" s="205">
        <f t="shared" si="3"/>
        <v>0</v>
      </c>
    </row>
    <row r="597" spans="1:11" hidden="1" x14ac:dyDescent="0.3">
      <c r="A597" s="211" t="s">
        <v>1498</v>
      </c>
      <c r="B597" s="211" t="s">
        <v>1423</v>
      </c>
      <c r="C597" s="211" t="s">
        <v>1499</v>
      </c>
      <c r="D597" s="199"/>
      <c r="E597" s="211" t="s">
        <v>1500</v>
      </c>
      <c r="F597" s="211">
        <v>66696.47</v>
      </c>
      <c r="G597" s="211">
        <v>58333.3</v>
      </c>
      <c r="H597" s="204">
        <v>69999.959999999992</v>
      </c>
      <c r="I597" s="205">
        <f t="shared" si="3"/>
        <v>80035.763999999996</v>
      </c>
    </row>
    <row r="598" spans="1:11" hidden="1" x14ac:dyDescent="0.3">
      <c r="A598" s="211" t="s">
        <v>1501</v>
      </c>
      <c r="B598" s="211" t="s">
        <v>1423</v>
      </c>
      <c r="C598" s="211" t="s">
        <v>1499</v>
      </c>
      <c r="D598" s="199"/>
      <c r="E598" s="211" t="s">
        <v>1502</v>
      </c>
      <c r="F598" s="211">
        <v>17633.07</v>
      </c>
      <c r="G598" s="211">
        <v>18333.3</v>
      </c>
      <c r="H598" s="204">
        <v>21999.96</v>
      </c>
      <c r="I598" s="205">
        <f t="shared" si="3"/>
        <v>21159.684000000001</v>
      </c>
    </row>
    <row r="599" spans="1:11" hidden="1" x14ac:dyDescent="0.3">
      <c r="A599" s="211" t="s">
        <v>1503</v>
      </c>
      <c r="B599" s="211" t="s">
        <v>1423</v>
      </c>
      <c r="C599" s="211" t="s">
        <v>1499</v>
      </c>
      <c r="D599" s="199"/>
      <c r="E599" s="211" t="s">
        <v>1504</v>
      </c>
      <c r="F599" s="211">
        <v>44553.72</v>
      </c>
      <c r="G599" s="211">
        <v>41666.699999999997</v>
      </c>
      <c r="H599" s="204">
        <v>50000.04</v>
      </c>
      <c r="I599" s="205">
        <f t="shared" si="3"/>
        <v>53464.464000000007</v>
      </c>
    </row>
    <row r="600" spans="1:11" hidden="1" x14ac:dyDescent="0.3">
      <c r="A600" s="211" t="s">
        <v>1505</v>
      </c>
      <c r="B600" s="211" t="s">
        <v>1430</v>
      </c>
      <c r="C600" s="211" t="s">
        <v>1499</v>
      </c>
      <c r="D600" s="199"/>
      <c r="E600" s="211" t="s">
        <v>1506</v>
      </c>
      <c r="F600" s="211">
        <v>6671.03</v>
      </c>
      <c r="G600" s="211">
        <v>3333.3</v>
      </c>
      <c r="H600" s="204">
        <v>3999.9600000000005</v>
      </c>
      <c r="I600" s="205">
        <f t="shared" si="3"/>
        <v>8005.235999999999</v>
      </c>
    </row>
    <row r="601" spans="1:11" hidden="1" x14ac:dyDescent="0.3">
      <c r="A601" s="211" t="s">
        <v>1507</v>
      </c>
      <c r="B601" s="211" t="s">
        <v>251</v>
      </c>
      <c r="C601" s="211" t="s">
        <v>1287</v>
      </c>
      <c r="D601" s="199"/>
      <c r="E601" s="211" t="s">
        <v>1508</v>
      </c>
      <c r="F601" s="211">
        <v>8066.29</v>
      </c>
      <c r="G601" s="211">
        <v>10000</v>
      </c>
      <c r="H601" s="204">
        <v>12000</v>
      </c>
      <c r="I601" s="205">
        <f t="shared" si="3"/>
        <v>9679.5480000000007</v>
      </c>
    </row>
    <row r="602" spans="1:11" hidden="1" x14ac:dyDescent="0.3">
      <c r="A602" s="211" t="s">
        <v>1509</v>
      </c>
      <c r="B602" s="211" t="s">
        <v>293</v>
      </c>
      <c r="C602" s="211" t="s">
        <v>1510</v>
      </c>
      <c r="D602" s="199"/>
      <c r="E602" s="211" t="s">
        <v>1511</v>
      </c>
      <c r="F602" s="211">
        <v>3415.63</v>
      </c>
      <c r="G602" s="211">
        <v>0</v>
      </c>
      <c r="H602" s="204">
        <v>0</v>
      </c>
      <c r="I602" s="205">
        <f t="shared" si="3"/>
        <v>4098.7559999999994</v>
      </c>
    </row>
    <row r="603" spans="1:11" hidden="1" x14ac:dyDescent="0.3">
      <c r="A603" s="211" t="s">
        <v>1512</v>
      </c>
      <c r="B603" s="211" t="s">
        <v>293</v>
      </c>
      <c r="C603" s="211" t="s">
        <v>1510</v>
      </c>
      <c r="D603" s="199"/>
      <c r="E603" s="256" t="s">
        <v>1513</v>
      </c>
      <c r="F603" s="211">
        <v>2176.89</v>
      </c>
      <c r="G603" s="211">
        <v>0</v>
      </c>
      <c r="H603" s="204">
        <v>0</v>
      </c>
      <c r="I603" s="205">
        <f t="shared" si="3"/>
        <v>2612.268</v>
      </c>
      <c r="K603" s="259">
        <f>SUM(I585:I603)</f>
        <v>202400.16000000003</v>
      </c>
    </row>
    <row r="604" spans="1:11" hidden="1" x14ac:dyDescent="0.3">
      <c r="A604" s="211" t="s">
        <v>1514</v>
      </c>
      <c r="B604" s="211" t="s">
        <v>247</v>
      </c>
      <c r="C604" s="211" t="s">
        <v>1515</v>
      </c>
      <c r="D604" s="199"/>
      <c r="E604" s="211" t="s">
        <v>1516</v>
      </c>
      <c r="F604" s="211">
        <v>0</v>
      </c>
      <c r="G604" s="211">
        <v>750</v>
      </c>
      <c r="H604" s="204">
        <v>900</v>
      </c>
      <c r="I604" s="205">
        <f t="shared" si="3"/>
        <v>0</v>
      </c>
    </row>
    <row r="605" spans="1:11" hidden="1" x14ac:dyDescent="0.3">
      <c r="A605" s="211" t="s">
        <v>1517</v>
      </c>
      <c r="B605" s="211" t="s">
        <v>257</v>
      </c>
      <c r="C605" s="211" t="s">
        <v>1515</v>
      </c>
      <c r="D605" s="199"/>
      <c r="E605" s="211" t="s">
        <v>1518</v>
      </c>
      <c r="F605" s="211">
        <v>599.48</v>
      </c>
      <c r="G605" s="211">
        <v>1500</v>
      </c>
      <c r="H605" s="204">
        <v>1800</v>
      </c>
      <c r="I605" s="205">
        <f t="shared" si="3"/>
        <v>719.37599999999998</v>
      </c>
    </row>
    <row r="606" spans="1:11" hidden="1" x14ac:dyDescent="0.3">
      <c r="A606" s="211" t="s">
        <v>1519</v>
      </c>
      <c r="B606" s="211" t="s">
        <v>497</v>
      </c>
      <c r="C606" s="211" t="s">
        <v>1515</v>
      </c>
      <c r="D606" s="199"/>
      <c r="E606" s="211" t="s">
        <v>1520</v>
      </c>
      <c r="F606" s="211">
        <v>1482.36</v>
      </c>
      <c r="G606" s="211">
        <v>800</v>
      </c>
      <c r="H606" s="204">
        <v>960</v>
      </c>
      <c r="I606" s="205">
        <f t="shared" si="3"/>
        <v>1778.8319999999999</v>
      </c>
    </row>
    <row r="607" spans="1:11" hidden="1" x14ac:dyDescent="0.3">
      <c r="A607" s="211" t="s">
        <v>1521</v>
      </c>
      <c r="B607" s="211" t="s">
        <v>1522</v>
      </c>
      <c r="C607" s="211" t="s">
        <v>1515</v>
      </c>
      <c r="D607" s="199"/>
      <c r="E607" s="211" t="s">
        <v>1523</v>
      </c>
      <c r="F607" s="211">
        <v>363.74</v>
      </c>
      <c r="G607" s="211">
        <v>400</v>
      </c>
      <c r="H607" s="204">
        <v>480</v>
      </c>
      <c r="I607" s="205">
        <f t="shared" si="3"/>
        <v>436.48800000000006</v>
      </c>
    </row>
    <row r="608" spans="1:11" hidden="1" x14ac:dyDescent="0.3">
      <c r="A608" s="211" t="s">
        <v>1524</v>
      </c>
      <c r="B608" s="211" t="s">
        <v>524</v>
      </c>
      <c r="C608" s="211" t="s">
        <v>1515</v>
      </c>
      <c r="D608" s="199"/>
      <c r="E608" s="211" t="s">
        <v>1525</v>
      </c>
      <c r="F608" s="211">
        <v>525</v>
      </c>
      <c r="G608" s="211">
        <v>500</v>
      </c>
      <c r="H608" s="204">
        <v>600</v>
      </c>
      <c r="I608" s="205">
        <f t="shared" si="3"/>
        <v>630</v>
      </c>
    </row>
    <row r="609" spans="1:9" hidden="1" x14ac:dyDescent="0.3">
      <c r="A609" s="211" t="s">
        <v>1526</v>
      </c>
      <c r="B609" s="211" t="s">
        <v>280</v>
      </c>
      <c r="C609" s="211" t="s">
        <v>1515</v>
      </c>
      <c r="D609" s="199"/>
      <c r="E609" s="211" t="s">
        <v>1527</v>
      </c>
      <c r="F609" s="211">
        <v>1624.3</v>
      </c>
      <c r="G609" s="211">
        <v>600</v>
      </c>
      <c r="H609" s="204">
        <v>720</v>
      </c>
      <c r="I609" s="205">
        <f t="shared" si="3"/>
        <v>1949.16</v>
      </c>
    </row>
    <row r="610" spans="1:9" hidden="1" x14ac:dyDescent="0.3">
      <c r="A610" s="211" t="s">
        <v>1528</v>
      </c>
      <c r="B610" s="211" t="s">
        <v>280</v>
      </c>
      <c r="C610" s="211" t="s">
        <v>1515</v>
      </c>
      <c r="D610" s="199"/>
      <c r="E610" s="211" t="s">
        <v>1529</v>
      </c>
      <c r="F610" s="211">
        <v>784.2</v>
      </c>
      <c r="G610" s="211">
        <v>600</v>
      </c>
      <c r="H610" s="204">
        <v>720</v>
      </c>
      <c r="I610" s="205">
        <f t="shared" si="3"/>
        <v>941.04</v>
      </c>
    </row>
    <row r="611" spans="1:9" hidden="1" x14ac:dyDescent="0.3">
      <c r="A611" s="211" t="s">
        <v>1530</v>
      </c>
      <c r="B611" s="211" t="s">
        <v>280</v>
      </c>
      <c r="C611" s="211" t="s">
        <v>1515</v>
      </c>
      <c r="D611" s="199"/>
      <c r="E611" s="211" t="s">
        <v>1531</v>
      </c>
      <c r="F611" s="211">
        <v>1755.09</v>
      </c>
      <c r="G611" s="211">
        <v>600</v>
      </c>
      <c r="H611" s="204">
        <v>720</v>
      </c>
      <c r="I611" s="205">
        <f t="shared" si="3"/>
        <v>2106.1079999999997</v>
      </c>
    </row>
    <row r="612" spans="1:9" hidden="1" x14ac:dyDescent="0.3">
      <c r="A612" s="211" t="s">
        <v>1532</v>
      </c>
      <c r="B612" s="211" t="s">
        <v>280</v>
      </c>
      <c r="C612" s="211" t="s">
        <v>1515</v>
      </c>
      <c r="D612" s="199"/>
      <c r="E612" s="211" t="s">
        <v>1533</v>
      </c>
      <c r="F612" s="211">
        <v>653.12</v>
      </c>
      <c r="G612" s="211">
        <v>700</v>
      </c>
      <c r="H612" s="204">
        <v>840</v>
      </c>
      <c r="I612" s="205">
        <f t="shared" si="3"/>
        <v>783.74399999999991</v>
      </c>
    </row>
    <row r="613" spans="1:9" hidden="1" x14ac:dyDescent="0.3">
      <c r="A613" s="211" t="s">
        <v>1534</v>
      </c>
      <c r="B613" s="211" t="s">
        <v>303</v>
      </c>
      <c r="C613" s="211" t="s">
        <v>1515</v>
      </c>
      <c r="D613" s="199"/>
      <c r="E613" s="211" t="s">
        <v>1535</v>
      </c>
      <c r="F613" s="211">
        <v>912.53</v>
      </c>
      <c r="G613" s="211">
        <v>600</v>
      </c>
      <c r="H613" s="204">
        <v>720</v>
      </c>
      <c r="I613" s="205">
        <f t="shared" si="3"/>
        <v>1095.0360000000001</v>
      </c>
    </row>
    <row r="614" spans="1:9" hidden="1" x14ac:dyDescent="0.3">
      <c r="A614" s="211" t="s">
        <v>1536</v>
      </c>
      <c r="B614" s="211" t="s">
        <v>558</v>
      </c>
      <c r="C614" s="211" t="s">
        <v>1515</v>
      </c>
      <c r="D614" s="199"/>
      <c r="E614" s="211" t="s">
        <v>1537</v>
      </c>
      <c r="F614" s="211">
        <v>397.17</v>
      </c>
      <c r="G614" s="211">
        <v>700</v>
      </c>
      <c r="H614" s="204">
        <v>840</v>
      </c>
      <c r="I614" s="205">
        <f t="shared" si="3"/>
        <v>476.60399999999998</v>
      </c>
    </row>
    <row r="615" spans="1:9" hidden="1" x14ac:dyDescent="0.3">
      <c r="A615" s="211" t="s">
        <v>1538</v>
      </c>
      <c r="B615" s="211" t="s">
        <v>1430</v>
      </c>
      <c r="C615" s="211" t="s">
        <v>1515</v>
      </c>
      <c r="D615" s="199"/>
      <c r="E615" s="211" t="s">
        <v>1539</v>
      </c>
      <c r="F615" s="211">
        <v>17730.96</v>
      </c>
      <c r="G615" s="211">
        <v>12500</v>
      </c>
      <c r="H615" s="204">
        <v>15000</v>
      </c>
      <c r="I615" s="205">
        <f t="shared" si="3"/>
        <v>21277.152000000002</v>
      </c>
    </row>
    <row r="616" spans="1:9" hidden="1" x14ac:dyDescent="0.3">
      <c r="A616" s="211" t="s">
        <v>1540</v>
      </c>
      <c r="B616" s="211" t="s">
        <v>1430</v>
      </c>
      <c r="C616" s="211" t="s">
        <v>1515</v>
      </c>
      <c r="D616" s="199"/>
      <c r="E616" s="211" t="s">
        <v>1541</v>
      </c>
      <c r="F616" s="211">
        <v>2869.6</v>
      </c>
      <c r="G616" s="211">
        <v>3333.3</v>
      </c>
      <c r="H616" s="204">
        <v>3999.9600000000005</v>
      </c>
      <c r="I616" s="205">
        <f t="shared" si="3"/>
        <v>3443.5199999999995</v>
      </c>
    </row>
    <row r="617" spans="1:9" hidden="1" x14ac:dyDescent="0.3">
      <c r="A617" s="211" t="s">
        <v>1542</v>
      </c>
      <c r="B617" s="211" t="s">
        <v>1423</v>
      </c>
      <c r="C617" s="211" t="s">
        <v>1515</v>
      </c>
      <c r="D617" s="199"/>
      <c r="E617" s="211" t="s">
        <v>1543</v>
      </c>
      <c r="F617" s="211">
        <v>11314.44</v>
      </c>
      <c r="G617" s="211">
        <v>6666.7</v>
      </c>
      <c r="H617" s="204">
        <v>8000.0399999999991</v>
      </c>
      <c r="I617" s="205">
        <f t="shared" ref="I617:I680" si="4">+F617/10*12</f>
        <v>13577.328</v>
      </c>
    </row>
    <row r="618" spans="1:9" hidden="1" x14ac:dyDescent="0.3">
      <c r="A618" s="211" t="s">
        <v>1544</v>
      </c>
      <c r="B618" s="211" t="s">
        <v>1430</v>
      </c>
      <c r="C618" s="211" t="s">
        <v>1515</v>
      </c>
      <c r="D618" s="199"/>
      <c r="E618" s="211" t="s">
        <v>1545</v>
      </c>
      <c r="F618" s="211">
        <v>3475.94</v>
      </c>
      <c r="G618" s="211">
        <v>1250</v>
      </c>
      <c r="H618" s="204">
        <v>1500</v>
      </c>
      <c r="I618" s="205">
        <f t="shared" si="4"/>
        <v>4171.1279999999997</v>
      </c>
    </row>
    <row r="619" spans="1:9" hidden="1" x14ac:dyDescent="0.3">
      <c r="A619" s="211" t="s">
        <v>1546</v>
      </c>
      <c r="B619" s="211" t="s">
        <v>251</v>
      </c>
      <c r="C619" s="211" t="s">
        <v>1515</v>
      </c>
      <c r="D619" s="199"/>
      <c r="E619" s="211" t="s">
        <v>1547</v>
      </c>
      <c r="F619" s="211">
        <v>2115.7800000000002</v>
      </c>
      <c r="G619" s="211">
        <v>2083.3000000000002</v>
      </c>
      <c r="H619" s="204">
        <v>2499.96</v>
      </c>
      <c r="I619" s="205">
        <f t="shared" si="4"/>
        <v>2538.9360000000006</v>
      </c>
    </row>
    <row r="620" spans="1:9" hidden="1" x14ac:dyDescent="0.3">
      <c r="A620" s="211" t="s">
        <v>1548</v>
      </c>
      <c r="B620" s="211" t="s">
        <v>280</v>
      </c>
      <c r="C620" s="211" t="s">
        <v>1515</v>
      </c>
      <c r="D620" s="199"/>
      <c r="E620" s="211" t="s">
        <v>1549</v>
      </c>
      <c r="F620" s="211">
        <v>1363.75</v>
      </c>
      <c r="G620" s="211">
        <v>750</v>
      </c>
      <c r="H620" s="204">
        <v>900</v>
      </c>
      <c r="I620" s="205">
        <f t="shared" si="4"/>
        <v>1636.5</v>
      </c>
    </row>
    <row r="621" spans="1:9" hidden="1" x14ac:dyDescent="0.3">
      <c r="A621" s="211" t="s">
        <v>1550</v>
      </c>
      <c r="B621" s="211" t="s">
        <v>280</v>
      </c>
      <c r="C621" s="211" t="s">
        <v>1515</v>
      </c>
      <c r="D621" s="199"/>
      <c r="E621" s="211" t="s">
        <v>1551</v>
      </c>
      <c r="F621" s="211">
        <v>589.38</v>
      </c>
      <c r="G621" s="211">
        <v>600</v>
      </c>
      <c r="H621" s="204">
        <v>720</v>
      </c>
      <c r="I621" s="205">
        <f t="shared" si="4"/>
        <v>707.25600000000009</v>
      </c>
    </row>
    <row r="622" spans="1:9" hidden="1" x14ac:dyDescent="0.3">
      <c r="A622" s="211" t="s">
        <v>1552</v>
      </c>
      <c r="B622" s="211" t="s">
        <v>280</v>
      </c>
      <c r="C622" s="211" t="s">
        <v>1515</v>
      </c>
      <c r="D622" s="199"/>
      <c r="E622" s="211" t="s">
        <v>1553</v>
      </c>
      <c r="F622" s="211">
        <v>1386.78</v>
      </c>
      <c r="G622" s="211">
        <v>1250</v>
      </c>
      <c r="H622" s="204">
        <v>1500</v>
      </c>
      <c r="I622" s="205">
        <f t="shared" si="4"/>
        <v>1664.136</v>
      </c>
    </row>
    <row r="623" spans="1:9" hidden="1" x14ac:dyDescent="0.3">
      <c r="A623" s="211" t="s">
        <v>1554</v>
      </c>
      <c r="B623" s="211" t="s">
        <v>280</v>
      </c>
      <c r="C623" s="211" t="s">
        <v>1515</v>
      </c>
      <c r="D623" s="199"/>
      <c r="E623" s="211" t="s">
        <v>1555</v>
      </c>
      <c r="F623" s="211">
        <v>421.5</v>
      </c>
      <c r="G623" s="211">
        <v>1666.7</v>
      </c>
      <c r="H623" s="204">
        <v>2000.0400000000002</v>
      </c>
      <c r="I623" s="205">
        <f t="shared" si="4"/>
        <v>505.79999999999995</v>
      </c>
    </row>
    <row r="624" spans="1:9" hidden="1" x14ac:dyDescent="0.3">
      <c r="A624" s="211" t="s">
        <v>1556</v>
      </c>
      <c r="B624" s="211" t="s">
        <v>280</v>
      </c>
      <c r="C624" s="211" t="s">
        <v>1515</v>
      </c>
      <c r="D624" s="199"/>
      <c r="E624" s="211" t="s">
        <v>1557</v>
      </c>
      <c r="F624" s="211">
        <v>1215.3399999999999</v>
      </c>
      <c r="G624" s="211">
        <v>1416.7</v>
      </c>
      <c r="H624" s="204">
        <v>1700.0400000000002</v>
      </c>
      <c r="I624" s="205">
        <f t="shared" si="4"/>
        <v>1458.4079999999999</v>
      </c>
    </row>
    <row r="625" spans="1:11" hidden="1" x14ac:dyDescent="0.3">
      <c r="A625" s="211" t="s">
        <v>1558</v>
      </c>
      <c r="B625" s="211" t="s">
        <v>280</v>
      </c>
      <c r="C625" s="211" t="s">
        <v>1515</v>
      </c>
      <c r="D625" s="199"/>
      <c r="E625" s="211" t="s">
        <v>1559</v>
      </c>
      <c r="F625" s="211">
        <v>932.43</v>
      </c>
      <c r="G625" s="211">
        <v>1000</v>
      </c>
      <c r="H625" s="204">
        <v>1200</v>
      </c>
      <c r="I625" s="205">
        <f t="shared" si="4"/>
        <v>1118.9159999999999</v>
      </c>
    </row>
    <row r="626" spans="1:11" hidden="1" x14ac:dyDescent="0.3">
      <c r="A626" s="211" t="s">
        <v>1560</v>
      </c>
      <c r="B626" s="211" t="s">
        <v>280</v>
      </c>
      <c r="C626" s="211" t="s">
        <v>1515</v>
      </c>
      <c r="D626" s="199"/>
      <c r="E626" s="211" t="s">
        <v>1561</v>
      </c>
      <c r="F626" s="211">
        <v>276.51</v>
      </c>
      <c r="G626" s="211">
        <v>350</v>
      </c>
      <c r="H626" s="204">
        <v>420</v>
      </c>
      <c r="I626" s="205">
        <f t="shared" si="4"/>
        <v>331.81200000000001</v>
      </c>
    </row>
    <row r="627" spans="1:11" hidden="1" x14ac:dyDescent="0.3">
      <c r="A627" s="211" t="s">
        <v>1562</v>
      </c>
      <c r="B627" s="211" t="s">
        <v>280</v>
      </c>
      <c r="C627" s="211" t="s">
        <v>1515</v>
      </c>
      <c r="D627" s="199"/>
      <c r="E627" s="211" t="s">
        <v>1563</v>
      </c>
      <c r="F627" s="211">
        <v>200.93</v>
      </c>
      <c r="G627" s="211">
        <v>200</v>
      </c>
      <c r="H627" s="204">
        <v>240</v>
      </c>
      <c r="I627" s="205">
        <f t="shared" si="4"/>
        <v>241.11599999999999</v>
      </c>
    </row>
    <row r="628" spans="1:11" hidden="1" x14ac:dyDescent="0.3">
      <c r="A628" s="211" t="s">
        <v>1564</v>
      </c>
      <c r="B628" s="211" t="s">
        <v>280</v>
      </c>
      <c r="C628" s="211" t="s">
        <v>1515</v>
      </c>
      <c r="D628" s="199"/>
      <c r="E628" s="256" t="s">
        <v>1565</v>
      </c>
      <c r="F628" s="211">
        <v>1967.77</v>
      </c>
      <c r="G628" s="211">
        <v>600</v>
      </c>
      <c r="H628" s="204">
        <v>720</v>
      </c>
      <c r="I628" s="205">
        <f t="shared" si="4"/>
        <v>2361.3239999999996</v>
      </c>
      <c r="K628" s="259">
        <f>SUM(I604:I628)</f>
        <v>65949.72</v>
      </c>
    </row>
    <row r="629" spans="1:11" hidden="1" x14ac:dyDescent="0.3">
      <c r="A629" s="211" t="s">
        <v>1566</v>
      </c>
      <c r="B629" s="211" t="s">
        <v>247</v>
      </c>
      <c r="C629" s="211" t="s">
        <v>1478</v>
      </c>
      <c r="D629" s="199"/>
      <c r="E629" s="211" t="s">
        <v>1567</v>
      </c>
      <c r="F629" s="211">
        <v>571.6</v>
      </c>
      <c r="G629" s="211">
        <v>583.29999999999995</v>
      </c>
      <c r="H629" s="204">
        <v>699.96</v>
      </c>
      <c r="I629" s="205">
        <f t="shared" si="4"/>
        <v>685.92000000000007</v>
      </c>
    </row>
    <row r="630" spans="1:11" hidden="1" x14ac:dyDescent="0.3">
      <c r="A630" s="211" t="s">
        <v>1568</v>
      </c>
      <c r="B630" s="211" t="s">
        <v>257</v>
      </c>
      <c r="C630" s="211" t="s">
        <v>1478</v>
      </c>
      <c r="D630" s="199"/>
      <c r="E630" s="211" t="s">
        <v>1569</v>
      </c>
      <c r="F630" s="211">
        <v>1276.5999999999999</v>
      </c>
      <c r="G630" s="211">
        <v>1250</v>
      </c>
      <c r="H630" s="204">
        <v>1500</v>
      </c>
      <c r="I630" s="205">
        <f t="shared" si="4"/>
        <v>1531.92</v>
      </c>
    </row>
    <row r="631" spans="1:11" hidden="1" x14ac:dyDescent="0.3">
      <c r="A631" s="211" t="s">
        <v>1570</v>
      </c>
      <c r="B631" s="211" t="s">
        <v>1522</v>
      </c>
      <c r="C631" s="211" t="s">
        <v>1478</v>
      </c>
      <c r="D631" s="199"/>
      <c r="E631" s="211" t="s">
        <v>1571</v>
      </c>
      <c r="F631" s="211">
        <v>1053.8800000000001</v>
      </c>
      <c r="G631" s="211">
        <v>666.7</v>
      </c>
      <c r="H631" s="204">
        <v>800.04</v>
      </c>
      <c r="I631" s="205">
        <f t="shared" si="4"/>
        <v>1264.6559999999999</v>
      </c>
    </row>
    <row r="632" spans="1:11" hidden="1" x14ac:dyDescent="0.3">
      <c r="A632" s="211" t="s">
        <v>1572</v>
      </c>
      <c r="B632" s="211" t="s">
        <v>524</v>
      </c>
      <c r="C632" s="211" t="s">
        <v>1478</v>
      </c>
      <c r="D632" s="199"/>
      <c r="E632" s="211" t="s">
        <v>1573</v>
      </c>
      <c r="F632" s="211">
        <v>0</v>
      </c>
      <c r="G632" s="211">
        <v>1000</v>
      </c>
      <c r="H632" s="204">
        <v>1200</v>
      </c>
      <c r="I632" s="205">
        <f t="shared" si="4"/>
        <v>0</v>
      </c>
    </row>
    <row r="633" spans="1:11" hidden="1" x14ac:dyDescent="0.3">
      <c r="A633" s="211" t="s">
        <v>1574</v>
      </c>
      <c r="B633" s="211" t="s">
        <v>280</v>
      </c>
      <c r="C633" s="211" t="s">
        <v>1478</v>
      </c>
      <c r="D633" s="199"/>
      <c r="E633" s="211" t="s">
        <v>1575</v>
      </c>
      <c r="F633" s="211">
        <v>936.21</v>
      </c>
      <c r="G633" s="211">
        <v>1000</v>
      </c>
      <c r="H633" s="204">
        <v>1200</v>
      </c>
      <c r="I633" s="205">
        <f t="shared" si="4"/>
        <v>1123.4520000000002</v>
      </c>
    </row>
    <row r="634" spans="1:11" hidden="1" x14ac:dyDescent="0.3">
      <c r="A634" s="211" t="s">
        <v>1576</v>
      </c>
      <c r="B634" s="211" t="s">
        <v>280</v>
      </c>
      <c r="C634" s="211" t="s">
        <v>1478</v>
      </c>
      <c r="D634" s="199"/>
      <c r="E634" s="211" t="s">
        <v>1577</v>
      </c>
      <c r="F634" s="211">
        <v>1247.98</v>
      </c>
      <c r="G634" s="211">
        <v>916.7</v>
      </c>
      <c r="H634" s="204">
        <v>1100.04</v>
      </c>
      <c r="I634" s="205">
        <f t="shared" si="4"/>
        <v>1497.576</v>
      </c>
    </row>
    <row r="635" spans="1:11" hidden="1" x14ac:dyDescent="0.3">
      <c r="A635" s="211" t="s">
        <v>1578</v>
      </c>
      <c r="B635" s="211" t="s">
        <v>280</v>
      </c>
      <c r="C635" s="211" t="s">
        <v>1478</v>
      </c>
      <c r="D635" s="199"/>
      <c r="E635" s="211" t="s">
        <v>1579</v>
      </c>
      <c r="F635" s="211">
        <v>873.36</v>
      </c>
      <c r="G635" s="211">
        <v>916.7</v>
      </c>
      <c r="H635" s="204">
        <v>1100.04</v>
      </c>
      <c r="I635" s="205">
        <f t="shared" si="4"/>
        <v>1048.0319999999999</v>
      </c>
    </row>
    <row r="636" spans="1:11" hidden="1" x14ac:dyDescent="0.3">
      <c r="A636" s="211" t="s">
        <v>1580</v>
      </c>
      <c r="B636" s="211" t="s">
        <v>280</v>
      </c>
      <c r="C636" s="211" t="s">
        <v>1478</v>
      </c>
      <c r="D636" s="199"/>
      <c r="E636" s="211" t="s">
        <v>1581</v>
      </c>
      <c r="F636" s="211">
        <v>1193.71</v>
      </c>
      <c r="G636" s="211">
        <v>1166.7</v>
      </c>
      <c r="H636" s="204">
        <v>1400.04</v>
      </c>
      <c r="I636" s="205">
        <f t="shared" si="4"/>
        <v>1432.4520000000002</v>
      </c>
    </row>
    <row r="637" spans="1:11" hidden="1" x14ac:dyDescent="0.3">
      <c r="A637" s="211" t="s">
        <v>1582</v>
      </c>
      <c r="B637" s="211" t="s">
        <v>1583</v>
      </c>
      <c r="C637" s="211" t="s">
        <v>1273</v>
      </c>
      <c r="D637" s="199"/>
      <c r="E637" s="211" t="s">
        <v>1584</v>
      </c>
      <c r="F637" s="211">
        <v>1279.47</v>
      </c>
      <c r="G637" s="211">
        <v>1416.7</v>
      </c>
      <c r="H637" s="204">
        <v>1700.0400000000002</v>
      </c>
      <c r="I637" s="205">
        <f t="shared" si="4"/>
        <v>1535.364</v>
      </c>
    </row>
    <row r="638" spans="1:11" hidden="1" x14ac:dyDescent="0.3">
      <c r="A638" s="211" t="s">
        <v>1585</v>
      </c>
      <c r="B638" s="211" t="s">
        <v>1430</v>
      </c>
      <c r="C638" s="211" t="s">
        <v>1478</v>
      </c>
      <c r="D638" s="199"/>
      <c r="E638" s="211" t="s">
        <v>1586</v>
      </c>
      <c r="F638" s="211">
        <v>9041.6200000000008</v>
      </c>
      <c r="G638" s="211">
        <v>16666.7</v>
      </c>
      <c r="H638" s="204">
        <v>20000.04</v>
      </c>
      <c r="I638" s="205">
        <f t="shared" si="4"/>
        <v>10849.944</v>
      </c>
    </row>
    <row r="639" spans="1:11" hidden="1" x14ac:dyDescent="0.3">
      <c r="A639" s="211" t="s">
        <v>1587</v>
      </c>
      <c r="B639" s="211" t="s">
        <v>1430</v>
      </c>
      <c r="C639" s="211" t="s">
        <v>1478</v>
      </c>
      <c r="D639" s="199"/>
      <c r="E639" s="211" t="s">
        <v>1588</v>
      </c>
      <c r="F639" s="211">
        <v>1252.74</v>
      </c>
      <c r="G639" s="211">
        <v>1250</v>
      </c>
      <c r="H639" s="204">
        <v>1500</v>
      </c>
      <c r="I639" s="205">
        <f t="shared" si="4"/>
        <v>1503.288</v>
      </c>
    </row>
    <row r="640" spans="1:11" hidden="1" x14ac:dyDescent="0.3">
      <c r="A640" s="211" t="s">
        <v>1589</v>
      </c>
      <c r="B640" s="211" t="s">
        <v>1430</v>
      </c>
      <c r="C640" s="211" t="s">
        <v>1478</v>
      </c>
      <c r="D640" s="199"/>
      <c r="E640" s="211" t="s">
        <v>1590</v>
      </c>
      <c r="F640" s="211">
        <v>8850.5</v>
      </c>
      <c r="G640" s="211">
        <v>1666.7</v>
      </c>
      <c r="H640" s="204">
        <v>2000.0400000000002</v>
      </c>
      <c r="I640" s="205">
        <f t="shared" si="4"/>
        <v>10620.599999999999</v>
      </c>
    </row>
    <row r="641" spans="1:9" hidden="1" x14ac:dyDescent="0.3">
      <c r="A641" s="211" t="s">
        <v>1591</v>
      </c>
      <c r="B641" s="211" t="s">
        <v>1430</v>
      </c>
      <c r="C641" s="211" t="s">
        <v>1478</v>
      </c>
      <c r="D641" s="199"/>
      <c r="E641" s="211" t="s">
        <v>1592</v>
      </c>
      <c r="F641" s="211">
        <v>1334.07</v>
      </c>
      <c r="G641" s="211">
        <v>1000</v>
      </c>
      <c r="H641" s="204">
        <v>1200</v>
      </c>
      <c r="I641" s="205">
        <f t="shared" si="4"/>
        <v>1600.8839999999998</v>
      </c>
    </row>
    <row r="642" spans="1:9" hidden="1" x14ac:dyDescent="0.3">
      <c r="A642" s="211" t="s">
        <v>1593</v>
      </c>
      <c r="B642" s="211" t="s">
        <v>251</v>
      </c>
      <c r="C642" s="211" t="s">
        <v>1273</v>
      </c>
      <c r="D642" s="199"/>
      <c r="E642" s="211" t="s">
        <v>1594</v>
      </c>
      <c r="F642" s="211">
        <v>1046.7</v>
      </c>
      <c r="G642" s="211">
        <v>1000</v>
      </c>
      <c r="H642" s="204">
        <v>1200</v>
      </c>
      <c r="I642" s="205">
        <f t="shared" si="4"/>
        <v>1256.04</v>
      </c>
    </row>
    <row r="643" spans="1:9" hidden="1" x14ac:dyDescent="0.3">
      <c r="A643" s="211" t="s">
        <v>1595</v>
      </c>
      <c r="B643" s="211" t="s">
        <v>280</v>
      </c>
      <c r="C643" s="211" t="s">
        <v>1478</v>
      </c>
      <c r="D643" s="199"/>
      <c r="E643" s="211" t="s">
        <v>1596</v>
      </c>
      <c r="F643" s="211">
        <v>1946.09</v>
      </c>
      <c r="G643" s="211">
        <v>1916.7</v>
      </c>
      <c r="H643" s="204">
        <v>2300.04</v>
      </c>
      <c r="I643" s="205">
        <f t="shared" si="4"/>
        <v>2335.308</v>
      </c>
    </row>
    <row r="644" spans="1:9" hidden="1" x14ac:dyDescent="0.3">
      <c r="A644" s="211" t="s">
        <v>1597</v>
      </c>
      <c r="B644" s="211" t="s">
        <v>280</v>
      </c>
      <c r="C644" s="211" t="s">
        <v>1478</v>
      </c>
      <c r="D644" s="199"/>
      <c r="E644" s="211" t="s">
        <v>1598</v>
      </c>
      <c r="F644" s="211">
        <v>1154.3399999999999</v>
      </c>
      <c r="G644" s="211">
        <v>1250</v>
      </c>
      <c r="H644" s="204">
        <v>1500</v>
      </c>
      <c r="I644" s="205">
        <f t="shared" si="4"/>
        <v>1385.2080000000001</v>
      </c>
    </row>
    <row r="645" spans="1:9" hidden="1" x14ac:dyDescent="0.3">
      <c r="A645" s="211" t="s">
        <v>1599</v>
      </c>
      <c r="B645" s="211" t="s">
        <v>280</v>
      </c>
      <c r="C645" s="211" t="s">
        <v>1478</v>
      </c>
      <c r="D645" s="199"/>
      <c r="E645" s="211" t="s">
        <v>1600</v>
      </c>
      <c r="F645" s="211">
        <v>1206.74</v>
      </c>
      <c r="G645" s="211">
        <v>1000</v>
      </c>
      <c r="H645" s="204">
        <v>1200</v>
      </c>
      <c r="I645" s="205">
        <f t="shared" si="4"/>
        <v>1448.0880000000002</v>
      </c>
    </row>
    <row r="646" spans="1:9" hidden="1" x14ac:dyDescent="0.3">
      <c r="A646" s="211" t="s">
        <v>1601</v>
      </c>
      <c r="B646" s="211" t="s">
        <v>280</v>
      </c>
      <c r="C646" s="211" t="s">
        <v>1478</v>
      </c>
      <c r="D646" s="199"/>
      <c r="E646" s="211" t="s">
        <v>1602</v>
      </c>
      <c r="F646" s="211">
        <v>1190.54</v>
      </c>
      <c r="G646" s="211">
        <v>1000</v>
      </c>
      <c r="H646" s="204">
        <v>1200</v>
      </c>
      <c r="I646" s="205">
        <f t="shared" si="4"/>
        <v>1428.6480000000001</v>
      </c>
    </row>
    <row r="647" spans="1:9" hidden="1" x14ac:dyDescent="0.3">
      <c r="A647" s="211" t="s">
        <v>1603</v>
      </c>
      <c r="B647" s="211" t="s">
        <v>280</v>
      </c>
      <c r="C647" s="211" t="s">
        <v>1478</v>
      </c>
      <c r="D647" s="199"/>
      <c r="E647" s="211" t="s">
        <v>1604</v>
      </c>
      <c r="F647" s="211">
        <v>1232.8399999999999</v>
      </c>
      <c r="G647" s="211">
        <v>1250</v>
      </c>
      <c r="H647" s="204">
        <v>1500</v>
      </c>
      <c r="I647" s="205">
        <f t="shared" si="4"/>
        <v>1479.4079999999999</v>
      </c>
    </row>
    <row r="648" spans="1:9" hidden="1" x14ac:dyDescent="0.3">
      <c r="A648" s="211" t="s">
        <v>1605</v>
      </c>
      <c r="B648" s="211" t="s">
        <v>280</v>
      </c>
      <c r="C648" s="211" t="s">
        <v>1478</v>
      </c>
      <c r="D648" s="199"/>
      <c r="E648" s="211" t="s">
        <v>1606</v>
      </c>
      <c r="F648" s="211">
        <v>1628.58</v>
      </c>
      <c r="G648" s="211">
        <v>750</v>
      </c>
      <c r="H648" s="204">
        <v>900</v>
      </c>
      <c r="I648" s="205">
        <f t="shared" si="4"/>
        <v>1954.296</v>
      </c>
    </row>
    <row r="649" spans="1:9" hidden="1" x14ac:dyDescent="0.3">
      <c r="A649" s="211" t="s">
        <v>1607</v>
      </c>
      <c r="B649" s="211" t="s">
        <v>280</v>
      </c>
      <c r="C649" s="211" t="s">
        <v>1478</v>
      </c>
      <c r="D649" s="199"/>
      <c r="E649" s="211" t="s">
        <v>1608</v>
      </c>
      <c r="F649" s="211">
        <v>989.26</v>
      </c>
      <c r="G649" s="211">
        <v>500</v>
      </c>
      <c r="H649" s="204">
        <v>600</v>
      </c>
      <c r="I649" s="205">
        <f t="shared" si="4"/>
        <v>1187.1120000000001</v>
      </c>
    </row>
    <row r="650" spans="1:9" hidden="1" x14ac:dyDescent="0.3">
      <c r="A650" s="211" t="s">
        <v>1609</v>
      </c>
      <c r="B650" s="211" t="s">
        <v>280</v>
      </c>
      <c r="C650" s="211" t="s">
        <v>1478</v>
      </c>
      <c r="D650" s="199"/>
      <c r="E650" s="211" t="s">
        <v>1610</v>
      </c>
      <c r="F650" s="211">
        <v>1192.0999999999999</v>
      </c>
      <c r="G650" s="211">
        <v>1000</v>
      </c>
      <c r="H650" s="204">
        <v>1200</v>
      </c>
      <c r="I650" s="205">
        <f t="shared" si="4"/>
        <v>1430.52</v>
      </c>
    </row>
    <row r="651" spans="1:9" hidden="1" x14ac:dyDescent="0.3">
      <c r="A651" s="211" t="s">
        <v>1611</v>
      </c>
      <c r="B651" s="211" t="s">
        <v>280</v>
      </c>
      <c r="C651" s="211" t="s">
        <v>1478</v>
      </c>
      <c r="D651" s="199"/>
      <c r="E651" s="211" t="s">
        <v>1612</v>
      </c>
      <c r="F651" s="211">
        <v>739.98</v>
      </c>
      <c r="G651" s="211">
        <v>500</v>
      </c>
      <c r="H651" s="204">
        <v>600</v>
      </c>
      <c r="I651" s="205">
        <f t="shared" si="4"/>
        <v>887.97600000000011</v>
      </c>
    </row>
    <row r="652" spans="1:9" hidden="1" x14ac:dyDescent="0.3">
      <c r="A652" s="211" t="s">
        <v>1613</v>
      </c>
      <c r="B652" s="211" t="s">
        <v>280</v>
      </c>
      <c r="C652" s="211" t="s">
        <v>1478</v>
      </c>
      <c r="D652" s="199"/>
      <c r="E652" s="211" t="s">
        <v>1614</v>
      </c>
      <c r="F652" s="211">
        <v>1000.09</v>
      </c>
      <c r="G652" s="211">
        <v>1000</v>
      </c>
      <c r="H652" s="204">
        <v>1200</v>
      </c>
      <c r="I652" s="205">
        <f t="shared" si="4"/>
        <v>1200.1079999999999</v>
      </c>
    </row>
    <row r="653" spans="1:9" hidden="1" x14ac:dyDescent="0.3">
      <c r="A653" s="211" t="s">
        <v>1615</v>
      </c>
      <c r="B653" s="211" t="s">
        <v>280</v>
      </c>
      <c r="C653" s="211" t="s">
        <v>1478</v>
      </c>
      <c r="D653" s="199"/>
      <c r="E653" s="211" t="s">
        <v>1616</v>
      </c>
      <c r="F653" s="211">
        <v>698.11</v>
      </c>
      <c r="G653" s="211">
        <v>500</v>
      </c>
      <c r="H653" s="204">
        <v>600</v>
      </c>
      <c r="I653" s="205">
        <f t="shared" si="4"/>
        <v>837.73200000000008</v>
      </c>
    </row>
    <row r="654" spans="1:9" hidden="1" x14ac:dyDescent="0.3">
      <c r="A654" s="211" t="s">
        <v>1617</v>
      </c>
      <c r="B654" s="211" t="s">
        <v>280</v>
      </c>
      <c r="C654" s="211" t="s">
        <v>1478</v>
      </c>
      <c r="D654" s="199"/>
      <c r="E654" s="211" t="s">
        <v>1618</v>
      </c>
      <c r="F654" s="211">
        <v>304.02</v>
      </c>
      <c r="G654" s="211">
        <v>1083.3</v>
      </c>
      <c r="H654" s="204">
        <v>1299.96</v>
      </c>
      <c r="I654" s="205">
        <f t="shared" si="4"/>
        <v>364.82399999999996</v>
      </c>
    </row>
    <row r="655" spans="1:9" hidden="1" x14ac:dyDescent="0.3">
      <c r="A655" s="211" t="s">
        <v>1619</v>
      </c>
      <c r="B655" s="211" t="s">
        <v>303</v>
      </c>
      <c r="C655" s="211" t="s">
        <v>1478</v>
      </c>
      <c r="D655" s="199"/>
      <c r="E655" s="211" t="s">
        <v>1620</v>
      </c>
      <c r="F655" s="211">
        <v>1720.12</v>
      </c>
      <c r="G655" s="211">
        <v>916.7</v>
      </c>
      <c r="H655" s="204">
        <v>1100.04</v>
      </c>
      <c r="I655" s="205">
        <f t="shared" si="4"/>
        <v>2064.1440000000002</v>
      </c>
    </row>
    <row r="656" spans="1:9" hidden="1" x14ac:dyDescent="0.3">
      <c r="A656" s="211" t="s">
        <v>1621</v>
      </c>
      <c r="B656" s="211" t="s">
        <v>558</v>
      </c>
      <c r="C656" s="211" t="s">
        <v>1478</v>
      </c>
      <c r="D656" s="199"/>
      <c r="E656" s="211" t="s">
        <v>1622</v>
      </c>
      <c r="F656" s="211">
        <v>865.08</v>
      </c>
      <c r="G656" s="211">
        <v>1000</v>
      </c>
      <c r="H656" s="204">
        <v>1200</v>
      </c>
      <c r="I656" s="205">
        <f t="shared" si="4"/>
        <v>1038.096</v>
      </c>
    </row>
    <row r="657" spans="1:11" hidden="1" x14ac:dyDescent="0.3">
      <c r="A657" s="211" t="s">
        <v>1623</v>
      </c>
      <c r="B657" s="211" t="s">
        <v>1423</v>
      </c>
      <c r="C657" s="211" t="s">
        <v>1478</v>
      </c>
      <c r="D657" s="199"/>
      <c r="E657" s="211" t="s">
        <v>1624</v>
      </c>
      <c r="F657" s="211">
        <v>483.81</v>
      </c>
      <c r="G657" s="211">
        <v>500</v>
      </c>
      <c r="H657" s="204">
        <v>600</v>
      </c>
      <c r="I657" s="205">
        <f t="shared" si="4"/>
        <v>580.572</v>
      </c>
    </row>
    <row r="658" spans="1:11" hidden="1" x14ac:dyDescent="0.3">
      <c r="A658" s="211" t="s">
        <v>1625</v>
      </c>
      <c r="B658" s="211" t="s">
        <v>280</v>
      </c>
      <c r="C658" s="211" t="s">
        <v>1478</v>
      </c>
      <c r="D658" s="199"/>
      <c r="E658" s="211" t="s">
        <v>1626</v>
      </c>
      <c r="F658" s="211">
        <v>373.85</v>
      </c>
      <c r="G658" s="211">
        <v>1000</v>
      </c>
      <c r="H658" s="204">
        <v>1200</v>
      </c>
      <c r="I658" s="205">
        <f t="shared" si="4"/>
        <v>448.62000000000006</v>
      </c>
    </row>
    <row r="659" spans="1:11" hidden="1" x14ac:dyDescent="0.3">
      <c r="A659" s="211" t="s">
        <v>1627</v>
      </c>
      <c r="B659" s="211" t="s">
        <v>280</v>
      </c>
      <c r="C659" s="211" t="s">
        <v>1478</v>
      </c>
      <c r="D659" s="199"/>
      <c r="E659" s="211" t="s">
        <v>1628</v>
      </c>
      <c r="F659" s="211">
        <v>253.08</v>
      </c>
      <c r="G659" s="211">
        <v>1150</v>
      </c>
      <c r="H659" s="204">
        <v>1380</v>
      </c>
      <c r="I659" s="205">
        <f t="shared" si="4"/>
        <v>303.69600000000003</v>
      </c>
    </row>
    <row r="660" spans="1:11" hidden="1" x14ac:dyDescent="0.3">
      <c r="A660" s="211" t="s">
        <v>1629</v>
      </c>
      <c r="B660" s="211" t="s">
        <v>280</v>
      </c>
      <c r="C660" s="211" t="s">
        <v>1478</v>
      </c>
      <c r="D660" s="199"/>
      <c r="E660" s="211" t="s">
        <v>1630</v>
      </c>
      <c r="F660" s="211">
        <v>432.28</v>
      </c>
      <c r="G660" s="211">
        <v>416.7</v>
      </c>
      <c r="H660" s="204">
        <v>500.04</v>
      </c>
      <c r="I660" s="205">
        <f t="shared" si="4"/>
        <v>518.73599999999988</v>
      </c>
    </row>
    <row r="661" spans="1:11" hidden="1" x14ac:dyDescent="0.3">
      <c r="A661" s="211" t="s">
        <v>1631</v>
      </c>
      <c r="B661" s="211" t="s">
        <v>280</v>
      </c>
      <c r="C661" s="211" t="s">
        <v>1478</v>
      </c>
      <c r="D661" s="199"/>
      <c r="E661" s="211" t="s">
        <v>1632</v>
      </c>
      <c r="F661" s="211">
        <v>935.23</v>
      </c>
      <c r="G661" s="211">
        <v>1000</v>
      </c>
      <c r="H661" s="204">
        <v>1200</v>
      </c>
      <c r="I661" s="205">
        <f t="shared" si="4"/>
        <v>1122.2759999999998</v>
      </c>
    </row>
    <row r="662" spans="1:11" hidden="1" x14ac:dyDescent="0.3">
      <c r="A662" s="211" t="s">
        <v>1633</v>
      </c>
      <c r="B662" s="211" t="s">
        <v>280</v>
      </c>
      <c r="C662" s="211" t="s">
        <v>1478</v>
      </c>
      <c r="D662" s="199"/>
      <c r="E662" s="211" t="s">
        <v>1634</v>
      </c>
      <c r="F662" s="211">
        <v>979.7</v>
      </c>
      <c r="G662" s="211">
        <v>500</v>
      </c>
      <c r="H662" s="204">
        <v>600</v>
      </c>
      <c r="I662" s="205">
        <f t="shared" si="4"/>
        <v>1175.6399999999999</v>
      </c>
    </row>
    <row r="663" spans="1:11" hidden="1" x14ac:dyDescent="0.3">
      <c r="A663" s="211" t="s">
        <v>1635</v>
      </c>
      <c r="B663" s="211" t="s">
        <v>280</v>
      </c>
      <c r="C663" s="211" t="s">
        <v>1478</v>
      </c>
      <c r="D663" s="199"/>
      <c r="E663" s="211" t="s">
        <v>1636</v>
      </c>
      <c r="F663" s="211">
        <v>485.84</v>
      </c>
      <c r="G663" s="211">
        <v>600</v>
      </c>
      <c r="H663" s="204">
        <v>720</v>
      </c>
      <c r="I663" s="205">
        <f t="shared" si="4"/>
        <v>583.00799999999992</v>
      </c>
    </row>
    <row r="664" spans="1:11" hidden="1" x14ac:dyDescent="0.3">
      <c r="A664" s="211" t="s">
        <v>1637</v>
      </c>
      <c r="B664" s="211" t="s">
        <v>280</v>
      </c>
      <c r="C664" s="211" t="s">
        <v>1478</v>
      </c>
      <c r="D664" s="199"/>
      <c r="E664" s="256" t="s">
        <v>1638</v>
      </c>
      <c r="F664" s="211">
        <v>276.64999999999998</v>
      </c>
      <c r="G664" s="211">
        <v>666.7</v>
      </c>
      <c r="H664" s="204">
        <v>800.04</v>
      </c>
      <c r="I664" s="205">
        <f t="shared" si="4"/>
        <v>331.98</v>
      </c>
      <c r="K664" s="226"/>
    </row>
    <row r="665" spans="1:11" hidden="1" x14ac:dyDescent="0.3">
      <c r="A665" s="211" t="s">
        <v>1639</v>
      </c>
      <c r="B665" s="211" t="s">
        <v>422</v>
      </c>
      <c r="C665" s="211" t="s">
        <v>1515</v>
      </c>
      <c r="D665" s="199"/>
      <c r="E665" s="256" t="s">
        <v>1640</v>
      </c>
      <c r="F665" s="211">
        <v>68857.570000000007</v>
      </c>
      <c r="G665" s="211">
        <v>70000</v>
      </c>
      <c r="H665" s="204">
        <v>84000</v>
      </c>
      <c r="I665" s="205">
        <f t="shared" si="4"/>
        <v>82629.084000000003</v>
      </c>
      <c r="K665" s="259">
        <f>SUM(I629:I665)</f>
        <v>142685.20800000001</v>
      </c>
    </row>
    <row r="666" spans="1:11" hidden="1" x14ac:dyDescent="0.3">
      <c r="A666" s="211" t="s">
        <v>1641</v>
      </c>
      <c r="B666" s="211" t="s">
        <v>422</v>
      </c>
      <c r="C666" s="211" t="s">
        <v>1393</v>
      </c>
      <c r="D666" s="199"/>
      <c r="E666" s="211" t="s">
        <v>1642</v>
      </c>
      <c r="F666" s="211">
        <v>0</v>
      </c>
      <c r="G666" s="211">
        <v>8333.2999999999993</v>
      </c>
      <c r="H666" s="204">
        <v>9999.9599999999991</v>
      </c>
      <c r="I666" s="205">
        <f t="shared" si="4"/>
        <v>0</v>
      </c>
    </row>
    <row r="667" spans="1:11" hidden="1" x14ac:dyDescent="0.3">
      <c r="A667" s="211" t="s">
        <v>1643</v>
      </c>
      <c r="B667" s="211" t="s">
        <v>422</v>
      </c>
      <c r="C667" s="211" t="s">
        <v>1393</v>
      </c>
      <c r="D667" s="199"/>
      <c r="E667" s="211" t="s">
        <v>1644</v>
      </c>
      <c r="F667" s="211">
        <v>0</v>
      </c>
      <c r="G667" s="211">
        <v>2500</v>
      </c>
      <c r="H667" s="204">
        <v>3000</v>
      </c>
      <c r="I667" s="205">
        <f t="shared" si="4"/>
        <v>0</v>
      </c>
    </row>
    <row r="668" spans="1:11" hidden="1" x14ac:dyDescent="0.3">
      <c r="A668" s="211" t="s">
        <v>1645</v>
      </c>
      <c r="B668" s="211" t="s">
        <v>251</v>
      </c>
      <c r="C668" s="211" t="s">
        <v>1393</v>
      </c>
      <c r="D668" s="199"/>
      <c r="E668" s="211" t="s">
        <v>1646</v>
      </c>
      <c r="F668" s="211">
        <v>0</v>
      </c>
      <c r="G668" s="211">
        <v>2500</v>
      </c>
      <c r="H668" s="204">
        <v>3000</v>
      </c>
      <c r="I668" s="205">
        <f t="shared" si="4"/>
        <v>0</v>
      </c>
    </row>
    <row r="669" spans="1:11" hidden="1" x14ac:dyDescent="0.3">
      <c r="A669" s="211" t="s">
        <v>1647</v>
      </c>
      <c r="B669" s="211" t="s">
        <v>490</v>
      </c>
      <c r="C669" s="211" t="s">
        <v>1393</v>
      </c>
      <c r="D669" s="199"/>
      <c r="E669" s="211" t="s">
        <v>1648</v>
      </c>
      <c r="F669" s="211">
        <v>0</v>
      </c>
      <c r="G669" s="211">
        <v>4166.7</v>
      </c>
      <c r="H669" s="204">
        <v>5000.0399999999991</v>
      </c>
      <c r="I669" s="205">
        <f t="shared" si="4"/>
        <v>0</v>
      </c>
    </row>
    <row r="670" spans="1:11" hidden="1" x14ac:dyDescent="0.3">
      <c r="A670" s="211" t="s">
        <v>1649</v>
      </c>
      <c r="B670" s="211" t="s">
        <v>422</v>
      </c>
      <c r="C670" s="211" t="s">
        <v>1393</v>
      </c>
      <c r="D670" s="199"/>
      <c r="E670" s="211" t="s">
        <v>1650</v>
      </c>
      <c r="F670" s="211">
        <v>0</v>
      </c>
      <c r="G670" s="211">
        <v>2500</v>
      </c>
      <c r="H670" s="204">
        <v>3000</v>
      </c>
      <c r="I670" s="205">
        <f t="shared" si="4"/>
        <v>0</v>
      </c>
    </row>
    <row r="671" spans="1:11" hidden="1" x14ac:dyDescent="0.3">
      <c r="A671" s="211" t="s">
        <v>1651</v>
      </c>
      <c r="B671" s="211" t="s">
        <v>412</v>
      </c>
      <c r="C671" s="211" t="s">
        <v>1393</v>
      </c>
      <c r="D671" s="199"/>
      <c r="E671" s="211" t="s">
        <v>1652</v>
      </c>
      <c r="F671" s="211">
        <v>0</v>
      </c>
      <c r="G671" s="211">
        <v>4166.7</v>
      </c>
      <c r="H671" s="204">
        <v>5000.0399999999991</v>
      </c>
      <c r="I671" s="205">
        <f t="shared" si="4"/>
        <v>0</v>
      </c>
    </row>
    <row r="672" spans="1:11" hidden="1" x14ac:dyDescent="0.3">
      <c r="A672" s="211" t="s">
        <v>1653</v>
      </c>
      <c r="B672" s="211" t="s">
        <v>422</v>
      </c>
      <c r="C672" s="211" t="s">
        <v>1654</v>
      </c>
      <c r="D672" s="199"/>
      <c r="E672" s="211" t="s">
        <v>1655</v>
      </c>
      <c r="F672" s="211">
        <v>22124.18</v>
      </c>
      <c r="G672" s="211">
        <v>25000</v>
      </c>
      <c r="H672" s="204">
        <v>30000</v>
      </c>
      <c r="I672" s="205">
        <f t="shared" si="4"/>
        <v>26549.016000000003</v>
      </c>
    </row>
    <row r="673" spans="1:11" hidden="1" x14ac:dyDescent="0.3">
      <c r="A673" s="211" t="s">
        <v>1656</v>
      </c>
      <c r="B673" s="211" t="s">
        <v>422</v>
      </c>
      <c r="C673" s="211" t="s">
        <v>1654</v>
      </c>
      <c r="D673" s="199"/>
      <c r="E673" s="211" t="s">
        <v>1657</v>
      </c>
      <c r="F673" s="211">
        <v>1782.82</v>
      </c>
      <c r="G673" s="211">
        <v>0</v>
      </c>
      <c r="H673" s="204">
        <v>0</v>
      </c>
      <c r="I673" s="205">
        <f t="shared" si="4"/>
        <v>2139.384</v>
      </c>
    </row>
    <row r="674" spans="1:11" hidden="1" x14ac:dyDescent="0.3">
      <c r="A674" s="211" t="s">
        <v>1658</v>
      </c>
      <c r="B674" s="211" t="s">
        <v>412</v>
      </c>
      <c r="C674" s="211" t="s">
        <v>1654</v>
      </c>
      <c r="D674" s="199"/>
      <c r="E674" s="211" t="s">
        <v>1659</v>
      </c>
      <c r="F674" s="211">
        <v>748.37</v>
      </c>
      <c r="G674" s="211">
        <v>0</v>
      </c>
      <c r="H674" s="204">
        <v>0</v>
      </c>
      <c r="I674" s="205">
        <f t="shared" si="4"/>
        <v>898.0440000000001</v>
      </c>
    </row>
    <row r="675" spans="1:11" hidden="1" x14ac:dyDescent="0.3">
      <c r="A675" s="211" t="s">
        <v>1660</v>
      </c>
      <c r="B675" s="211" t="s">
        <v>1661</v>
      </c>
      <c r="C675" s="211" t="s">
        <v>1662</v>
      </c>
      <c r="D675" s="199"/>
      <c r="E675" s="211" t="s">
        <v>1663</v>
      </c>
      <c r="F675" s="211">
        <v>380.85</v>
      </c>
      <c r="G675" s="211">
        <v>5833.3</v>
      </c>
      <c r="H675" s="204">
        <v>6999.9600000000009</v>
      </c>
      <c r="I675" s="205">
        <f t="shared" si="4"/>
        <v>457.02</v>
      </c>
    </row>
    <row r="676" spans="1:11" hidden="1" x14ac:dyDescent="0.3">
      <c r="A676" s="211" t="s">
        <v>1664</v>
      </c>
      <c r="B676" s="211" t="s">
        <v>422</v>
      </c>
      <c r="C676" s="211" t="s">
        <v>1662</v>
      </c>
      <c r="D676" s="199"/>
      <c r="E676" s="211" t="s">
        <v>1665</v>
      </c>
      <c r="F676" s="211">
        <v>1321.85</v>
      </c>
      <c r="G676" s="211">
        <v>0</v>
      </c>
      <c r="H676" s="204">
        <v>0</v>
      </c>
      <c r="I676" s="205">
        <f t="shared" si="4"/>
        <v>1586.22</v>
      </c>
    </row>
    <row r="677" spans="1:11" hidden="1" x14ac:dyDescent="0.3">
      <c r="A677" s="211" t="s">
        <v>1666</v>
      </c>
      <c r="B677" s="211" t="s">
        <v>422</v>
      </c>
      <c r="C677" s="211" t="s">
        <v>1662</v>
      </c>
      <c r="D677" s="199"/>
      <c r="E677" s="211" t="s">
        <v>106</v>
      </c>
      <c r="F677" s="211">
        <v>10333.450000000001</v>
      </c>
      <c r="G677" s="211">
        <v>5000</v>
      </c>
      <c r="H677" s="204">
        <v>6000</v>
      </c>
      <c r="I677" s="205">
        <v>30000</v>
      </c>
    </row>
    <row r="678" spans="1:11" hidden="1" x14ac:dyDescent="0.3">
      <c r="A678" s="211" t="s">
        <v>1667</v>
      </c>
      <c r="B678" s="211" t="s">
        <v>473</v>
      </c>
      <c r="C678" s="211" t="s">
        <v>1662</v>
      </c>
      <c r="D678" s="199"/>
      <c r="E678" s="211" t="s">
        <v>1668</v>
      </c>
      <c r="F678" s="211">
        <v>328.43</v>
      </c>
      <c r="G678" s="211">
        <v>0</v>
      </c>
      <c r="H678" s="204">
        <v>0</v>
      </c>
      <c r="I678" s="205">
        <f t="shared" si="4"/>
        <v>394.11600000000004</v>
      </c>
    </row>
    <row r="679" spans="1:11" hidden="1" x14ac:dyDescent="0.3">
      <c r="A679" s="211" t="s">
        <v>1669</v>
      </c>
      <c r="B679" s="211" t="s">
        <v>480</v>
      </c>
      <c r="C679" s="211" t="s">
        <v>1662</v>
      </c>
      <c r="D679" s="199"/>
      <c r="E679" s="211" t="s">
        <v>1670</v>
      </c>
      <c r="F679" s="211">
        <v>419.73</v>
      </c>
      <c r="G679" s="211">
        <v>0</v>
      </c>
      <c r="H679" s="204">
        <v>0</v>
      </c>
      <c r="I679" s="205">
        <f t="shared" si="4"/>
        <v>503.67599999999999</v>
      </c>
    </row>
    <row r="680" spans="1:11" hidden="1" x14ac:dyDescent="0.3">
      <c r="A680" s="211" t="s">
        <v>1671</v>
      </c>
      <c r="B680" s="211" t="s">
        <v>422</v>
      </c>
      <c r="C680" s="211" t="s">
        <v>1662</v>
      </c>
      <c r="D680" s="199"/>
      <c r="E680" s="211" t="s">
        <v>1672</v>
      </c>
      <c r="F680" s="211">
        <v>1407.62</v>
      </c>
      <c r="G680" s="211">
        <v>0</v>
      </c>
      <c r="H680" s="204">
        <v>0</v>
      </c>
      <c r="I680" s="205">
        <f t="shared" si="4"/>
        <v>1689.144</v>
      </c>
    </row>
    <row r="681" spans="1:11" hidden="1" x14ac:dyDescent="0.3">
      <c r="A681" s="211" t="s">
        <v>1673</v>
      </c>
      <c r="B681" s="211" t="s">
        <v>508</v>
      </c>
      <c r="C681" s="211" t="s">
        <v>1662</v>
      </c>
      <c r="D681" s="199"/>
      <c r="E681" s="211" t="s">
        <v>1674</v>
      </c>
      <c r="F681" s="211">
        <v>3118.2</v>
      </c>
      <c r="G681" s="211">
        <v>0</v>
      </c>
      <c r="H681" s="204">
        <v>0</v>
      </c>
      <c r="I681" s="205">
        <f t="shared" ref="I681:I744" si="5">+F681/10*12</f>
        <v>3741.84</v>
      </c>
    </row>
    <row r="682" spans="1:11" hidden="1" x14ac:dyDescent="0.3">
      <c r="A682" s="211" t="s">
        <v>1675</v>
      </c>
      <c r="B682" s="211" t="s">
        <v>511</v>
      </c>
      <c r="C682" s="211" t="s">
        <v>1662</v>
      </c>
      <c r="D682" s="199"/>
      <c r="E682" s="211" t="s">
        <v>1676</v>
      </c>
      <c r="F682" s="211">
        <v>400</v>
      </c>
      <c r="G682" s="211">
        <v>0</v>
      </c>
      <c r="H682" s="204">
        <v>0</v>
      </c>
      <c r="I682" s="205">
        <f t="shared" si="5"/>
        <v>480</v>
      </c>
    </row>
    <row r="683" spans="1:11" hidden="1" x14ac:dyDescent="0.3">
      <c r="A683" s="211" t="s">
        <v>1677</v>
      </c>
      <c r="B683" s="211" t="s">
        <v>422</v>
      </c>
      <c r="C683" s="211" t="s">
        <v>1662</v>
      </c>
      <c r="D683" s="199"/>
      <c r="E683" s="211" t="s">
        <v>1678</v>
      </c>
      <c r="F683" s="211">
        <v>652</v>
      </c>
      <c r="G683" s="211">
        <v>0</v>
      </c>
      <c r="H683" s="204">
        <v>0</v>
      </c>
      <c r="I683" s="205">
        <f t="shared" si="5"/>
        <v>782.40000000000009</v>
      </c>
    </row>
    <row r="684" spans="1:11" hidden="1" x14ac:dyDescent="0.3">
      <c r="A684" s="211" t="s">
        <v>1679</v>
      </c>
      <c r="B684" s="211" t="s">
        <v>280</v>
      </c>
      <c r="C684" s="211" t="s">
        <v>1662</v>
      </c>
      <c r="D684" s="199"/>
      <c r="E684" s="211" t="s">
        <v>1680</v>
      </c>
      <c r="F684" s="211">
        <v>1877.32</v>
      </c>
      <c r="G684" s="211">
        <v>0</v>
      </c>
      <c r="H684" s="204">
        <v>0</v>
      </c>
      <c r="I684" s="205">
        <f t="shared" si="5"/>
        <v>2252.7840000000001</v>
      </c>
    </row>
    <row r="685" spans="1:11" hidden="1" x14ac:dyDescent="0.3">
      <c r="A685" s="211" t="s">
        <v>1681</v>
      </c>
      <c r="B685" s="211" t="s">
        <v>287</v>
      </c>
      <c r="C685" s="211" t="s">
        <v>1662</v>
      </c>
      <c r="D685" s="199"/>
      <c r="E685" s="211" t="s">
        <v>1682</v>
      </c>
      <c r="F685" s="211">
        <v>12608.38</v>
      </c>
      <c r="G685" s="211">
        <v>0</v>
      </c>
      <c r="H685" s="204">
        <v>0</v>
      </c>
      <c r="I685" s="205">
        <f t="shared" si="5"/>
        <v>15130.056</v>
      </c>
    </row>
    <row r="686" spans="1:11" hidden="1" x14ac:dyDescent="0.3">
      <c r="A686" s="211" t="s">
        <v>1683</v>
      </c>
      <c r="B686" s="211" t="s">
        <v>1684</v>
      </c>
      <c r="C686" s="211" t="s">
        <v>1662</v>
      </c>
      <c r="D686" s="199"/>
      <c r="E686" s="211" t="s">
        <v>1685</v>
      </c>
      <c r="F686" s="211">
        <v>1707.72</v>
      </c>
      <c r="G686" s="211">
        <v>0</v>
      </c>
      <c r="H686" s="204">
        <v>0</v>
      </c>
      <c r="I686" s="205">
        <f t="shared" si="5"/>
        <v>2049.2640000000001</v>
      </c>
    </row>
    <row r="687" spans="1:11" hidden="1" x14ac:dyDescent="0.3">
      <c r="A687" s="211" t="s">
        <v>1686</v>
      </c>
      <c r="B687" s="211" t="s">
        <v>290</v>
      </c>
      <c r="C687" s="211" t="s">
        <v>1662</v>
      </c>
      <c r="D687" s="199"/>
      <c r="E687" s="211" t="s">
        <v>1687</v>
      </c>
      <c r="F687" s="211">
        <v>151.1</v>
      </c>
      <c r="G687" s="211">
        <v>0</v>
      </c>
      <c r="H687" s="204">
        <v>0</v>
      </c>
      <c r="I687" s="205">
        <f t="shared" si="5"/>
        <v>181.32</v>
      </c>
    </row>
    <row r="688" spans="1:11" hidden="1" x14ac:dyDescent="0.3">
      <c r="A688" s="211" t="s">
        <v>1688</v>
      </c>
      <c r="B688" s="211" t="s">
        <v>293</v>
      </c>
      <c r="C688" s="211" t="s">
        <v>1662</v>
      </c>
      <c r="D688" s="199"/>
      <c r="E688" s="256" t="s">
        <v>1689</v>
      </c>
      <c r="F688" s="211">
        <v>50</v>
      </c>
      <c r="G688" s="211">
        <v>0</v>
      </c>
      <c r="H688" s="204">
        <v>0</v>
      </c>
      <c r="I688" s="205">
        <f t="shared" si="5"/>
        <v>60</v>
      </c>
      <c r="K688" s="259">
        <f>SUM(I672:I688)</f>
        <v>88894.284</v>
      </c>
    </row>
    <row r="689" spans="1:11" hidden="1" x14ac:dyDescent="0.3">
      <c r="A689" s="211" t="s">
        <v>1690</v>
      </c>
      <c r="B689" s="211" t="s">
        <v>422</v>
      </c>
      <c r="C689" s="211" t="s">
        <v>1662</v>
      </c>
      <c r="D689" s="199"/>
      <c r="E689" s="256" t="s">
        <v>1691</v>
      </c>
      <c r="F689" s="211">
        <v>61152</v>
      </c>
      <c r="G689" s="211">
        <v>4166.7</v>
      </c>
      <c r="H689" s="204">
        <v>5000.0399999999991</v>
      </c>
      <c r="I689" s="205">
        <v>75000</v>
      </c>
      <c r="K689" s="259">
        <f>+I689</f>
        <v>75000</v>
      </c>
    </row>
    <row r="690" spans="1:11" hidden="1" x14ac:dyDescent="0.3">
      <c r="A690" s="211" t="s">
        <v>1692</v>
      </c>
      <c r="B690" s="211" t="s">
        <v>422</v>
      </c>
      <c r="C690" s="211" t="s">
        <v>1662</v>
      </c>
      <c r="D690" s="199"/>
      <c r="E690" s="211" t="s">
        <v>1693</v>
      </c>
      <c r="F690" s="211">
        <v>0</v>
      </c>
      <c r="G690" s="211">
        <v>1666.7</v>
      </c>
      <c r="H690" s="204">
        <v>2000.0400000000002</v>
      </c>
      <c r="I690" s="205">
        <f t="shared" si="5"/>
        <v>0</v>
      </c>
    </row>
    <row r="691" spans="1:11" hidden="1" x14ac:dyDescent="0.3">
      <c r="A691" s="211" t="s">
        <v>1694</v>
      </c>
      <c r="B691" s="211" t="s">
        <v>422</v>
      </c>
      <c r="C691" s="211" t="s">
        <v>1695</v>
      </c>
      <c r="D691" s="199"/>
      <c r="E691" s="211" t="s">
        <v>1696</v>
      </c>
      <c r="F691" s="211">
        <v>1640.28</v>
      </c>
      <c r="G691" s="211">
        <v>2500</v>
      </c>
      <c r="H691" s="204">
        <v>3000</v>
      </c>
      <c r="I691" s="205">
        <f t="shared" si="5"/>
        <v>1968.3359999999998</v>
      </c>
    </row>
    <row r="692" spans="1:11" hidden="1" x14ac:dyDescent="0.3">
      <c r="A692" s="211" t="s">
        <v>1697</v>
      </c>
      <c r="B692" s="211" t="s">
        <v>1661</v>
      </c>
      <c r="C692" s="211" t="s">
        <v>1695</v>
      </c>
      <c r="D692" s="199"/>
      <c r="E692" s="211" t="s">
        <v>1698</v>
      </c>
      <c r="F692" s="211">
        <v>1904.27</v>
      </c>
      <c r="G692" s="211">
        <v>1250</v>
      </c>
      <c r="H692" s="204">
        <v>1500</v>
      </c>
      <c r="I692" s="205">
        <f t="shared" si="5"/>
        <v>2285.1239999999998</v>
      </c>
    </row>
    <row r="693" spans="1:11" hidden="1" x14ac:dyDescent="0.3">
      <c r="A693" s="211" t="s">
        <v>1699</v>
      </c>
      <c r="B693" s="211" t="s">
        <v>1700</v>
      </c>
      <c r="C693" s="211" t="s">
        <v>1695</v>
      </c>
      <c r="D693" s="199"/>
      <c r="E693" s="211" t="s">
        <v>1701</v>
      </c>
      <c r="F693" s="211">
        <v>545.89</v>
      </c>
      <c r="G693" s="211">
        <v>1250</v>
      </c>
      <c r="H693" s="204">
        <v>1500</v>
      </c>
      <c r="I693" s="205">
        <f t="shared" si="5"/>
        <v>655.06799999999998</v>
      </c>
    </row>
    <row r="694" spans="1:11" hidden="1" x14ac:dyDescent="0.3">
      <c r="A694" s="211" t="s">
        <v>1702</v>
      </c>
      <c r="B694" s="211" t="s">
        <v>402</v>
      </c>
      <c r="C694" s="211" t="s">
        <v>1695</v>
      </c>
      <c r="D694" s="199"/>
      <c r="E694" s="211" t="s">
        <v>1703</v>
      </c>
      <c r="F694" s="211">
        <v>731.94</v>
      </c>
      <c r="G694" s="211">
        <v>0</v>
      </c>
      <c r="H694" s="204">
        <v>0</v>
      </c>
      <c r="I694" s="205">
        <f t="shared" si="5"/>
        <v>878.32799999999997</v>
      </c>
    </row>
    <row r="695" spans="1:11" hidden="1" x14ac:dyDescent="0.3">
      <c r="A695" s="211" t="s">
        <v>1704</v>
      </c>
      <c r="B695" s="211" t="s">
        <v>468</v>
      </c>
      <c r="C695" s="211" t="s">
        <v>1695</v>
      </c>
      <c r="D695" s="199"/>
      <c r="E695" s="211" t="s">
        <v>1705</v>
      </c>
      <c r="F695" s="211">
        <v>3747.95</v>
      </c>
      <c r="G695" s="211">
        <v>2500</v>
      </c>
      <c r="H695" s="204">
        <v>3000</v>
      </c>
      <c r="I695" s="205">
        <f t="shared" si="5"/>
        <v>4497.5399999999991</v>
      </c>
    </row>
    <row r="696" spans="1:11" hidden="1" x14ac:dyDescent="0.3">
      <c r="A696" s="211" t="s">
        <v>1706</v>
      </c>
      <c r="B696" s="211" t="s">
        <v>465</v>
      </c>
      <c r="C696" s="211" t="s">
        <v>1707</v>
      </c>
      <c r="D696" s="199"/>
      <c r="E696" s="211" t="s">
        <v>1708</v>
      </c>
      <c r="F696" s="211">
        <v>38699.839999999997</v>
      </c>
      <c r="G696" s="211">
        <v>41666.699999999997</v>
      </c>
      <c r="H696" s="204">
        <v>50000.04</v>
      </c>
      <c r="I696" s="205">
        <f t="shared" si="5"/>
        <v>46439.80799999999</v>
      </c>
    </row>
    <row r="697" spans="1:11" hidden="1" x14ac:dyDescent="0.3">
      <c r="A697" s="211" t="s">
        <v>1709</v>
      </c>
      <c r="B697" s="211" t="s">
        <v>1710</v>
      </c>
      <c r="C697" s="211" t="s">
        <v>1707</v>
      </c>
      <c r="D697" s="199"/>
      <c r="E697" s="211" t="s">
        <v>1711</v>
      </c>
      <c r="F697" s="211">
        <v>3060.56</v>
      </c>
      <c r="G697" s="211">
        <v>4166.7</v>
      </c>
      <c r="H697" s="204">
        <v>5000.0399999999991</v>
      </c>
      <c r="I697" s="205">
        <f t="shared" si="5"/>
        <v>3672.6719999999996</v>
      </c>
    </row>
    <row r="698" spans="1:11" hidden="1" x14ac:dyDescent="0.3">
      <c r="A698" s="211" t="s">
        <v>1712</v>
      </c>
      <c r="B698" s="211" t="s">
        <v>247</v>
      </c>
      <c r="C698" s="211" t="s">
        <v>1707</v>
      </c>
      <c r="D698" s="199"/>
      <c r="E698" s="211" t="s">
        <v>1713</v>
      </c>
      <c r="F698" s="211">
        <v>100.94</v>
      </c>
      <c r="G698" s="211">
        <v>0</v>
      </c>
      <c r="H698" s="204">
        <v>0</v>
      </c>
      <c r="I698" s="205">
        <f t="shared" si="5"/>
        <v>121.12799999999999</v>
      </c>
    </row>
    <row r="699" spans="1:11" hidden="1" x14ac:dyDescent="0.3">
      <c r="A699" s="211" t="s">
        <v>1714</v>
      </c>
      <c r="B699" s="211" t="s">
        <v>1715</v>
      </c>
      <c r="C699" s="211" t="s">
        <v>1707</v>
      </c>
      <c r="D699" s="199"/>
      <c r="E699" s="211" t="s">
        <v>1716</v>
      </c>
      <c r="F699" s="211">
        <v>4354.42</v>
      </c>
      <c r="G699" s="211">
        <v>4166.7</v>
      </c>
      <c r="H699" s="204">
        <v>5000.0399999999991</v>
      </c>
      <c r="I699" s="205">
        <f t="shared" si="5"/>
        <v>5225.3040000000001</v>
      </c>
    </row>
    <row r="700" spans="1:11" hidden="1" x14ac:dyDescent="0.3">
      <c r="A700" s="211" t="s">
        <v>1717</v>
      </c>
      <c r="B700" s="211" t="s">
        <v>422</v>
      </c>
      <c r="C700" s="211" t="s">
        <v>1695</v>
      </c>
      <c r="D700" s="199"/>
      <c r="E700" s="211" t="s">
        <v>1718</v>
      </c>
      <c r="F700" s="211">
        <v>1790.18</v>
      </c>
      <c r="G700" s="211">
        <v>1250</v>
      </c>
      <c r="H700" s="204">
        <v>1500</v>
      </c>
      <c r="I700" s="205">
        <f t="shared" si="5"/>
        <v>2148.2159999999999</v>
      </c>
    </row>
    <row r="701" spans="1:11" hidden="1" x14ac:dyDescent="0.3">
      <c r="A701" s="211" t="s">
        <v>1719</v>
      </c>
      <c r="B701" s="211" t="s">
        <v>465</v>
      </c>
      <c r="C701" s="211" t="s">
        <v>1720</v>
      </c>
      <c r="D701" s="199"/>
      <c r="E701" s="211" t="s">
        <v>1721</v>
      </c>
      <c r="F701" s="211">
        <v>7397.85</v>
      </c>
      <c r="G701" s="211">
        <v>8333.2999999999993</v>
      </c>
      <c r="H701" s="204">
        <v>9999.9599999999991</v>
      </c>
      <c r="I701" s="205">
        <f t="shared" si="5"/>
        <v>8877.4200000000019</v>
      </c>
    </row>
    <row r="702" spans="1:11" hidden="1" x14ac:dyDescent="0.3">
      <c r="A702" s="211" t="s">
        <v>1722</v>
      </c>
      <c r="B702" s="211" t="s">
        <v>490</v>
      </c>
      <c r="C702" s="211" t="s">
        <v>1720</v>
      </c>
      <c r="D702" s="199"/>
      <c r="E702" s="211" t="s">
        <v>1723</v>
      </c>
      <c r="F702" s="211">
        <v>4138.6000000000004</v>
      </c>
      <c r="G702" s="211">
        <v>4166.7</v>
      </c>
      <c r="H702" s="204">
        <v>5000.0399999999991</v>
      </c>
      <c r="I702" s="205">
        <f t="shared" si="5"/>
        <v>4966.32</v>
      </c>
    </row>
    <row r="703" spans="1:11" hidden="1" x14ac:dyDescent="0.3">
      <c r="A703" s="211" t="s">
        <v>1724</v>
      </c>
      <c r="B703" s="211" t="s">
        <v>412</v>
      </c>
      <c r="C703" s="211" t="s">
        <v>1720</v>
      </c>
      <c r="D703" s="199"/>
      <c r="E703" s="211" t="s">
        <v>1725</v>
      </c>
      <c r="F703" s="211">
        <v>239.89</v>
      </c>
      <c r="G703" s="211">
        <v>1250</v>
      </c>
      <c r="H703" s="204">
        <v>1500</v>
      </c>
      <c r="I703" s="205">
        <f t="shared" si="5"/>
        <v>287.86799999999994</v>
      </c>
    </row>
    <row r="704" spans="1:11" hidden="1" x14ac:dyDescent="0.3">
      <c r="A704" s="211" t="s">
        <v>1726</v>
      </c>
      <c r="B704" s="211" t="s">
        <v>497</v>
      </c>
      <c r="C704" s="211" t="s">
        <v>1707</v>
      </c>
      <c r="D704" s="199"/>
      <c r="E704" s="211" t="s">
        <v>1727</v>
      </c>
      <c r="F704" s="211">
        <v>2582.92</v>
      </c>
      <c r="G704" s="211">
        <v>2500</v>
      </c>
      <c r="H704" s="204">
        <v>3000</v>
      </c>
      <c r="I704" s="205">
        <f t="shared" si="5"/>
        <v>3099.5040000000004</v>
      </c>
    </row>
    <row r="705" spans="1:9" hidden="1" x14ac:dyDescent="0.3">
      <c r="A705" s="211" t="s">
        <v>1728</v>
      </c>
      <c r="B705" s="211" t="s">
        <v>251</v>
      </c>
      <c r="C705" s="211" t="s">
        <v>1707</v>
      </c>
      <c r="D705" s="199"/>
      <c r="E705" s="211" t="s">
        <v>1729</v>
      </c>
      <c r="F705" s="211">
        <v>2262.16</v>
      </c>
      <c r="G705" s="211">
        <v>0</v>
      </c>
      <c r="H705" s="204">
        <v>0</v>
      </c>
      <c r="I705" s="205">
        <f t="shared" si="5"/>
        <v>2714.5919999999996</v>
      </c>
    </row>
    <row r="706" spans="1:9" hidden="1" x14ac:dyDescent="0.3">
      <c r="A706" s="211" t="s">
        <v>1730</v>
      </c>
      <c r="B706" s="211" t="s">
        <v>490</v>
      </c>
      <c r="C706" s="211" t="s">
        <v>1720</v>
      </c>
      <c r="D706" s="199"/>
      <c r="E706" s="211" t="s">
        <v>1731</v>
      </c>
      <c r="F706" s="211">
        <v>3104.32</v>
      </c>
      <c r="G706" s="211">
        <v>4166.7</v>
      </c>
      <c r="H706" s="204">
        <v>5000.0399999999991</v>
      </c>
      <c r="I706" s="205">
        <f t="shared" si="5"/>
        <v>3725.1840000000002</v>
      </c>
    </row>
    <row r="707" spans="1:9" hidden="1" x14ac:dyDescent="0.3">
      <c r="A707" s="211" t="s">
        <v>1732</v>
      </c>
      <c r="B707" s="211" t="s">
        <v>508</v>
      </c>
      <c r="C707" s="211" t="s">
        <v>1720</v>
      </c>
      <c r="D707" s="199"/>
      <c r="E707" s="211" t="s">
        <v>1733</v>
      </c>
      <c r="F707" s="211">
        <v>1258.17</v>
      </c>
      <c r="G707" s="211">
        <v>1250</v>
      </c>
      <c r="H707" s="204">
        <v>1500</v>
      </c>
      <c r="I707" s="205">
        <f t="shared" si="5"/>
        <v>1509.8040000000001</v>
      </c>
    </row>
    <row r="708" spans="1:9" hidden="1" x14ac:dyDescent="0.3">
      <c r="A708" s="211" t="s">
        <v>1734</v>
      </c>
      <c r="B708" s="211" t="s">
        <v>511</v>
      </c>
      <c r="C708" s="211" t="s">
        <v>1720</v>
      </c>
      <c r="D708" s="199"/>
      <c r="E708" s="211" t="s">
        <v>1735</v>
      </c>
      <c r="F708" s="211">
        <v>6546.58</v>
      </c>
      <c r="G708" s="211">
        <v>1666.7</v>
      </c>
      <c r="H708" s="204">
        <v>2000.0400000000002</v>
      </c>
      <c r="I708" s="205">
        <f t="shared" si="5"/>
        <v>7855.8960000000006</v>
      </c>
    </row>
    <row r="709" spans="1:9" hidden="1" x14ac:dyDescent="0.3">
      <c r="A709" s="211" t="s">
        <v>1736</v>
      </c>
      <c r="B709" s="211" t="s">
        <v>422</v>
      </c>
      <c r="C709" s="211" t="s">
        <v>1695</v>
      </c>
      <c r="D709" s="199"/>
      <c r="E709" s="211" t="s">
        <v>1737</v>
      </c>
      <c r="F709" s="211">
        <v>577.72</v>
      </c>
      <c r="G709" s="211">
        <v>1250</v>
      </c>
      <c r="H709" s="204">
        <v>1500</v>
      </c>
      <c r="I709" s="205">
        <f t="shared" si="5"/>
        <v>693.26400000000012</v>
      </c>
    </row>
    <row r="710" spans="1:9" hidden="1" x14ac:dyDescent="0.3">
      <c r="A710" s="211" t="s">
        <v>1738</v>
      </c>
      <c r="B710" s="211" t="s">
        <v>300</v>
      </c>
      <c r="C710" s="211" t="s">
        <v>1739</v>
      </c>
      <c r="D710" s="199"/>
      <c r="E710" s="211" t="s">
        <v>1740</v>
      </c>
      <c r="F710" s="211">
        <v>1877.74</v>
      </c>
      <c r="G710" s="211">
        <v>0</v>
      </c>
      <c r="H710" s="204">
        <v>0</v>
      </c>
      <c r="I710" s="205">
        <f t="shared" si="5"/>
        <v>2253.288</v>
      </c>
    </row>
    <row r="711" spans="1:9" hidden="1" x14ac:dyDescent="0.3">
      <c r="A711" s="211" t="s">
        <v>1741</v>
      </c>
      <c r="B711" s="211" t="s">
        <v>465</v>
      </c>
      <c r="C711" s="211" t="s">
        <v>1720</v>
      </c>
      <c r="D711" s="199"/>
      <c r="E711" s="211" t="s">
        <v>1742</v>
      </c>
      <c r="F711" s="211">
        <v>7295.5</v>
      </c>
      <c r="G711" s="211">
        <v>8333.2999999999993</v>
      </c>
      <c r="H711" s="204">
        <v>9999.9599999999991</v>
      </c>
      <c r="I711" s="205">
        <f t="shared" si="5"/>
        <v>8754.5999999999985</v>
      </c>
    </row>
    <row r="712" spans="1:9" hidden="1" x14ac:dyDescent="0.3">
      <c r="A712" s="211" t="s">
        <v>1743</v>
      </c>
      <c r="B712" s="211" t="s">
        <v>490</v>
      </c>
      <c r="C712" s="211" t="s">
        <v>1720</v>
      </c>
      <c r="D712" s="199"/>
      <c r="E712" s="211" t="s">
        <v>1744</v>
      </c>
      <c r="F712" s="211">
        <v>5874.18</v>
      </c>
      <c r="G712" s="211">
        <v>4166.7</v>
      </c>
      <c r="H712" s="204">
        <v>5000.0399999999991</v>
      </c>
      <c r="I712" s="205">
        <f t="shared" si="5"/>
        <v>7049.0159999999996</v>
      </c>
    </row>
    <row r="713" spans="1:9" hidden="1" x14ac:dyDescent="0.3">
      <c r="A713" s="211" t="s">
        <v>1745</v>
      </c>
      <c r="B713" s="211" t="s">
        <v>524</v>
      </c>
      <c r="C713" s="211" t="s">
        <v>1695</v>
      </c>
      <c r="D713" s="199"/>
      <c r="E713" s="211" t="s">
        <v>1746</v>
      </c>
      <c r="F713" s="211">
        <v>1754.93</v>
      </c>
      <c r="G713" s="211">
        <v>2500</v>
      </c>
      <c r="H713" s="204">
        <v>3000</v>
      </c>
      <c r="I713" s="205">
        <f t="shared" si="5"/>
        <v>2105.9160000000002</v>
      </c>
    </row>
    <row r="714" spans="1:9" hidden="1" x14ac:dyDescent="0.3">
      <c r="A714" s="211" t="s">
        <v>1747</v>
      </c>
      <c r="B714" s="211" t="s">
        <v>422</v>
      </c>
      <c r="C714" s="211" t="s">
        <v>1695</v>
      </c>
      <c r="D714" s="199"/>
      <c r="E714" s="211" t="s">
        <v>1748</v>
      </c>
      <c r="F714" s="211">
        <v>478.24</v>
      </c>
      <c r="G714" s="211">
        <v>2500</v>
      </c>
      <c r="H714" s="204">
        <v>3000</v>
      </c>
      <c r="I714" s="205">
        <f t="shared" si="5"/>
        <v>573.88799999999992</v>
      </c>
    </row>
    <row r="715" spans="1:9" hidden="1" x14ac:dyDescent="0.3">
      <c r="A715" s="211" t="s">
        <v>1749</v>
      </c>
      <c r="B715" s="211" t="s">
        <v>280</v>
      </c>
      <c r="C715" s="211" t="s">
        <v>1720</v>
      </c>
      <c r="D715" s="199"/>
      <c r="E715" s="211" t="s">
        <v>1750</v>
      </c>
      <c r="F715" s="211">
        <v>13931.32</v>
      </c>
      <c r="G715" s="211">
        <v>16666.7</v>
      </c>
      <c r="H715" s="204">
        <v>20000.04</v>
      </c>
      <c r="I715" s="205">
        <f t="shared" si="5"/>
        <v>16717.584000000003</v>
      </c>
    </row>
    <row r="716" spans="1:9" hidden="1" x14ac:dyDescent="0.3">
      <c r="A716" s="211" t="s">
        <v>1751</v>
      </c>
      <c r="B716" s="211" t="s">
        <v>303</v>
      </c>
      <c r="C716" s="211" t="s">
        <v>1707</v>
      </c>
      <c r="D716" s="199"/>
      <c r="E716" s="211" t="s">
        <v>1752</v>
      </c>
      <c r="F716" s="211">
        <v>1053.57</v>
      </c>
      <c r="G716" s="211">
        <v>0</v>
      </c>
      <c r="H716" s="204">
        <v>0</v>
      </c>
      <c r="I716" s="205">
        <f t="shared" si="5"/>
        <v>1264.2840000000001</v>
      </c>
    </row>
    <row r="717" spans="1:9" hidden="1" x14ac:dyDescent="0.3">
      <c r="A717" s="211" t="s">
        <v>1753</v>
      </c>
      <c r="B717" s="211" t="s">
        <v>280</v>
      </c>
      <c r="C717" s="211" t="s">
        <v>1720</v>
      </c>
      <c r="D717" s="199"/>
      <c r="E717" s="211" t="s">
        <v>1754</v>
      </c>
      <c r="F717" s="211">
        <v>2102.1999999999998</v>
      </c>
      <c r="G717" s="211">
        <v>0</v>
      </c>
      <c r="H717" s="204">
        <v>0</v>
      </c>
      <c r="I717" s="205">
        <f t="shared" si="5"/>
        <v>2522.6399999999994</v>
      </c>
    </row>
    <row r="718" spans="1:9" hidden="1" x14ac:dyDescent="0.3">
      <c r="A718" s="211" t="s">
        <v>1755</v>
      </c>
      <c r="B718" s="211" t="s">
        <v>280</v>
      </c>
      <c r="C718" s="211" t="s">
        <v>1720</v>
      </c>
      <c r="D718" s="199"/>
      <c r="E718" s="211" t="s">
        <v>1756</v>
      </c>
      <c r="F718" s="211">
        <v>596.29</v>
      </c>
      <c r="G718" s="211">
        <v>416.7</v>
      </c>
      <c r="H718" s="204">
        <v>500.04</v>
      </c>
      <c r="I718" s="205">
        <f t="shared" si="5"/>
        <v>715.548</v>
      </c>
    </row>
    <row r="719" spans="1:9" hidden="1" x14ac:dyDescent="0.3">
      <c r="A719" s="211" t="s">
        <v>1757</v>
      </c>
      <c r="B719" s="211" t="s">
        <v>280</v>
      </c>
      <c r="C719" s="211" t="s">
        <v>1720</v>
      </c>
      <c r="D719" s="199"/>
      <c r="E719" s="211" t="s">
        <v>1758</v>
      </c>
      <c r="F719" s="211">
        <v>1811.54</v>
      </c>
      <c r="G719" s="211">
        <v>2500</v>
      </c>
      <c r="H719" s="204">
        <v>3000</v>
      </c>
      <c r="I719" s="205">
        <f t="shared" si="5"/>
        <v>2173.848</v>
      </c>
    </row>
    <row r="720" spans="1:9" hidden="1" x14ac:dyDescent="0.3">
      <c r="A720" s="211" t="s">
        <v>1759</v>
      </c>
      <c r="B720" s="211" t="s">
        <v>280</v>
      </c>
      <c r="C720" s="211" t="s">
        <v>1720</v>
      </c>
      <c r="D720" s="199"/>
      <c r="E720" s="211" t="s">
        <v>1760</v>
      </c>
      <c r="F720" s="211">
        <v>1157.0999999999999</v>
      </c>
      <c r="G720" s="211">
        <v>833.3</v>
      </c>
      <c r="H720" s="204">
        <v>999.96</v>
      </c>
      <c r="I720" s="205">
        <f t="shared" si="5"/>
        <v>1388.52</v>
      </c>
    </row>
    <row r="721" spans="1:11" hidden="1" x14ac:dyDescent="0.3">
      <c r="A721" s="211" t="s">
        <v>1761</v>
      </c>
      <c r="B721" s="211" t="s">
        <v>280</v>
      </c>
      <c r="C721" s="211" t="s">
        <v>1720</v>
      </c>
      <c r="D721" s="199"/>
      <c r="E721" s="211" t="s">
        <v>1762</v>
      </c>
      <c r="F721" s="211">
        <v>3611.39</v>
      </c>
      <c r="G721" s="211">
        <v>5000</v>
      </c>
      <c r="H721" s="204">
        <v>6000</v>
      </c>
      <c r="I721" s="205">
        <f t="shared" si="5"/>
        <v>4333.6679999999997</v>
      </c>
    </row>
    <row r="722" spans="1:11" hidden="1" x14ac:dyDescent="0.3">
      <c r="A722" s="211" t="s">
        <v>1763</v>
      </c>
      <c r="B722" s="211" t="s">
        <v>280</v>
      </c>
      <c r="C722" s="211" t="s">
        <v>1720</v>
      </c>
      <c r="D722" s="199"/>
      <c r="E722" s="211" t="s">
        <v>1764</v>
      </c>
      <c r="F722" s="211">
        <v>4553.03</v>
      </c>
      <c r="G722" s="211">
        <v>2500</v>
      </c>
      <c r="H722" s="204">
        <v>3000</v>
      </c>
      <c r="I722" s="205">
        <f t="shared" si="5"/>
        <v>5463.6360000000004</v>
      </c>
    </row>
    <row r="723" spans="1:11" hidden="1" x14ac:dyDescent="0.3">
      <c r="A723" s="211" t="s">
        <v>1765</v>
      </c>
      <c r="B723" s="211" t="s">
        <v>283</v>
      </c>
      <c r="C723" s="211" t="s">
        <v>1720</v>
      </c>
      <c r="D723" s="199"/>
      <c r="E723" s="211" t="s">
        <v>1766</v>
      </c>
      <c r="F723" s="211">
        <v>257.52999999999997</v>
      </c>
      <c r="G723" s="211">
        <v>0</v>
      </c>
      <c r="H723" s="204">
        <v>0</v>
      </c>
      <c r="I723" s="205">
        <f t="shared" si="5"/>
        <v>309.03599999999994</v>
      </c>
    </row>
    <row r="724" spans="1:11" hidden="1" x14ac:dyDescent="0.3">
      <c r="A724" s="211" t="s">
        <v>1767</v>
      </c>
      <c r="B724" s="211" t="s">
        <v>287</v>
      </c>
      <c r="C724" s="211" t="s">
        <v>1720</v>
      </c>
      <c r="D724" s="199"/>
      <c r="E724" s="211" t="s">
        <v>1768</v>
      </c>
      <c r="F724" s="211">
        <v>20256.150000000001</v>
      </c>
      <c r="G724" s="211">
        <v>12500</v>
      </c>
      <c r="H724" s="204">
        <v>15000</v>
      </c>
      <c r="I724" s="205">
        <f t="shared" si="5"/>
        <v>24307.380000000005</v>
      </c>
    </row>
    <row r="725" spans="1:11" hidden="1" x14ac:dyDescent="0.3">
      <c r="A725" s="211" t="s">
        <v>1769</v>
      </c>
      <c r="B725" s="211" t="s">
        <v>1684</v>
      </c>
      <c r="C725" s="211" t="s">
        <v>1695</v>
      </c>
      <c r="D725" s="199"/>
      <c r="E725" s="211" t="s">
        <v>1770</v>
      </c>
      <c r="F725" s="211">
        <v>9280.74</v>
      </c>
      <c r="G725" s="211">
        <v>4166.7</v>
      </c>
      <c r="H725" s="204">
        <v>5000.0399999999991</v>
      </c>
      <c r="I725" s="205">
        <f t="shared" si="5"/>
        <v>11136.887999999999</v>
      </c>
    </row>
    <row r="726" spans="1:11" hidden="1" x14ac:dyDescent="0.3">
      <c r="A726" s="211" t="s">
        <v>1771</v>
      </c>
      <c r="B726" s="211" t="s">
        <v>558</v>
      </c>
      <c r="C726" s="211" t="s">
        <v>1720</v>
      </c>
      <c r="D726" s="199"/>
      <c r="E726" s="211" t="s">
        <v>1772</v>
      </c>
      <c r="F726" s="211">
        <v>1659.99</v>
      </c>
      <c r="G726" s="211">
        <v>416.7</v>
      </c>
      <c r="H726" s="204">
        <v>500.04</v>
      </c>
      <c r="I726" s="205">
        <f t="shared" si="5"/>
        <v>1991.9879999999998</v>
      </c>
    </row>
    <row r="727" spans="1:11" hidden="1" x14ac:dyDescent="0.3">
      <c r="A727" s="211" t="s">
        <v>1773</v>
      </c>
      <c r="B727" s="211" t="s">
        <v>293</v>
      </c>
      <c r="C727" s="211" t="s">
        <v>1695</v>
      </c>
      <c r="D727" s="199"/>
      <c r="E727" s="256" t="s">
        <v>1774</v>
      </c>
      <c r="F727" s="211">
        <v>5360</v>
      </c>
      <c r="G727" s="211">
        <v>16666.7</v>
      </c>
      <c r="H727" s="204">
        <v>20000.04</v>
      </c>
      <c r="I727" s="205">
        <f t="shared" si="5"/>
        <v>6432</v>
      </c>
      <c r="K727" s="259">
        <f>SUM(I691:I727)</f>
        <v>201115.10400000002</v>
      </c>
    </row>
    <row r="728" spans="1:11" hidden="1" x14ac:dyDescent="0.3">
      <c r="A728" s="211" t="s">
        <v>1775</v>
      </c>
      <c r="B728" s="211" t="s">
        <v>497</v>
      </c>
      <c r="C728" s="211" t="s">
        <v>1720</v>
      </c>
      <c r="D728" s="199"/>
      <c r="E728" s="211" t="s">
        <v>1776</v>
      </c>
      <c r="F728" s="211">
        <v>12156.71</v>
      </c>
      <c r="G728" s="211">
        <v>16666.7</v>
      </c>
      <c r="H728" s="204">
        <v>20000.04</v>
      </c>
      <c r="I728" s="205">
        <f t="shared" si="5"/>
        <v>14588.051999999998</v>
      </c>
    </row>
    <row r="729" spans="1:11" hidden="1" x14ac:dyDescent="0.3">
      <c r="A729" s="211" t="s">
        <v>1777</v>
      </c>
      <c r="B729" s="211" t="s">
        <v>490</v>
      </c>
      <c r="C729" s="211" t="s">
        <v>1720</v>
      </c>
      <c r="D729" s="199"/>
      <c r="E729" s="211" t="s">
        <v>1778</v>
      </c>
      <c r="F729" s="211">
        <v>4261.92</v>
      </c>
      <c r="G729" s="211">
        <v>6250</v>
      </c>
      <c r="H729" s="204">
        <v>7500</v>
      </c>
      <c r="I729" s="205">
        <f t="shared" si="5"/>
        <v>5114.3040000000001</v>
      </c>
    </row>
    <row r="730" spans="1:11" hidden="1" x14ac:dyDescent="0.3">
      <c r="A730" s="211" t="s">
        <v>1779</v>
      </c>
      <c r="B730" s="211" t="s">
        <v>1780</v>
      </c>
      <c r="C730" s="211" t="s">
        <v>1720</v>
      </c>
      <c r="D730" s="199"/>
      <c r="E730" s="211" t="s">
        <v>1781</v>
      </c>
      <c r="F730" s="211">
        <v>3336.78</v>
      </c>
      <c r="G730" s="211">
        <v>0</v>
      </c>
      <c r="H730" s="204">
        <v>0</v>
      </c>
      <c r="I730" s="205">
        <f t="shared" si="5"/>
        <v>4004.136</v>
      </c>
    </row>
    <row r="731" spans="1:11" hidden="1" x14ac:dyDescent="0.3">
      <c r="A731" s="211" t="s">
        <v>1782</v>
      </c>
      <c r="B731" s="211" t="s">
        <v>287</v>
      </c>
      <c r="C731" s="211" t="s">
        <v>1720</v>
      </c>
      <c r="D731" s="199"/>
      <c r="E731" s="211" t="s">
        <v>1783</v>
      </c>
      <c r="F731" s="211">
        <v>2211.42</v>
      </c>
      <c r="G731" s="211">
        <v>12500</v>
      </c>
      <c r="H731" s="204">
        <v>15000</v>
      </c>
      <c r="I731" s="205">
        <f t="shared" si="5"/>
        <v>2653.7039999999997</v>
      </c>
    </row>
    <row r="732" spans="1:11" hidden="1" x14ac:dyDescent="0.3">
      <c r="A732" s="211" t="s">
        <v>1784</v>
      </c>
      <c r="B732" s="211" t="s">
        <v>1684</v>
      </c>
      <c r="C732" s="211" t="s">
        <v>1720</v>
      </c>
      <c r="D732" s="199"/>
      <c r="E732" s="256" t="s">
        <v>1785</v>
      </c>
      <c r="F732" s="211">
        <v>3517.04</v>
      </c>
      <c r="G732" s="211">
        <v>4166.7</v>
      </c>
      <c r="H732" s="204">
        <v>5000.0399999999991</v>
      </c>
      <c r="I732" s="205">
        <f t="shared" si="5"/>
        <v>4220.4480000000003</v>
      </c>
      <c r="K732" s="259">
        <f>SUM(I728:I732)</f>
        <v>30580.643999999997</v>
      </c>
    </row>
    <row r="733" spans="1:11" hidden="1" x14ac:dyDescent="0.3">
      <c r="A733" s="211" t="s">
        <v>1786</v>
      </c>
      <c r="B733" s="211" t="s">
        <v>422</v>
      </c>
      <c r="C733" s="211" t="s">
        <v>1478</v>
      </c>
      <c r="D733" s="199"/>
      <c r="E733" s="211" t="s">
        <v>1787</v>
      </c>
      <c r="F733" s="211">
        <v>1871.34</v>
      </c>
      <c r="G733" s="211">
        <v>8333.2999999999993</v>
      </c>
      <c r="H733" s="204">
        <v>9999.9599999999991</v>
      </c>
      <c r="I733" s="205">
        <f t="shared" si="5"/>
        <v>2245.6079999999997</v>
      </c>
    </row>
    <row r="734" spans="1:11" hidden="1" x14ac:dyDescent="0.3">
      <c r="A734" s="211" t="s">
        <v>1788</v>
      </c>
      <c r="B734" s="211" t="s">
        <v>422</v>
      </c>
      <c r="C734" s="211" t="s">
        <v>1478</v>
      </c>
      <c r="D734" s="199"/>
      <c r="E734" s="211" t="s">
        <v>1789</v>
      </c>
      <c r="F734" s="211">
        <v>1630.35</v>
      </c>
      <c r="G734" s="211">
        <v>8333.2999999999993</v>
      </c>
      <c r="H734" s="204">
        <v>9999.9599999999991</v>
      </c>
      <c r="I734" s="205">
        <f t="shared" si="5"/>
        <v>1956.42</v>
      </c>
    </row>
    <row r="735" spans="1:11" hidden="1" x14ac:dyDescent="0.3">
      <c r="A735" s="211" t="s">
        <v>1790</v>
      </c>
      <c r="B735" s="211" t="s">
        <v>454</v>
      </c>
      <c r="C735" s="211" t="s">
        <v>1478</v>
      </c>
      <c r="D735" s="199"/>
      <c r="E735" s="211" t="s">
        <v>1791</v>
      </c>
      <c r="F735" s="211">
        <v>436.77</v>
      </c>
      <c r="G735" s="211">
        <v>0</v>
      </c>
      <c r="H735" s="204">
        <v>0</v>
      </c>
      <c r="I735" s="205">
        <f t="shared" si="5"/>
        <v>524.12400000000002</v>
      </c>
    </row>
    <row r="736" spans="1:11" hidden="1" x14ac:dyDescent="0.3">
      <c r="A736" s="211" t="s">
        <v>1792</v>
      </c>
      <c r="B736" s="211" t="s">
        <v>457</v>
      </c>
      <c r="C736" s="211" t="s">
        <v>1478</v>
      </c>
      <c r="D736" s="199"/>
      <c r="E736" s="211" t="s">
        <v>1793</v>
      </c>
      <c r="F736" s="211">
        <v>123.09</v>
      </c>
      <c r="G736" s="211">
        <v>2500</v>
      </c>
      <c r="H736" s="204">
        <v>3000</v>
      </c>
      <c r="I736" s="205">
        <f t="shared" si="5"/>
        <v>147.70800000000003</v>
      </c>
    </row>
    <row r="737" spans="1:9" hidden="1" x14ac:dyDescent="0.3">
      <c r="A737" s="211" t="s">
        <v>1794</v>
      </c>
      <c r="B737" s="211" t="s">
        <v>468</v>
      </c>
      <c r="C737" s="211" t="s">
        <v>1478</v>
      </c>
      <c r="D737" s="199"/>
      <c r="E737" s="211" t="s">
        <v>1795</v>
      </c>
      <c r="F737" s="211">
        <v>1058.48</v>
      </c>
      <c r="G737" s="211">
        <v>0</v>
      </c>
      <c r="H737" s="204">
        <v>0</v>
      </c>
      <c r="I737" s="205">
        <f t="shared" si="5"/>
        <v>1270.1759999999999</v>
      </c>
    </row>
    <row r="738" spans="1:9" hidden="1" x14ac:dyDescent="0.3">
      <c r="A738" s="211" t="s">
        <v>1796</v>
      </c>
      <c r="B738" s="211" t="s">
        <v>422</v>
      </c>
      <c r="C738" s="211" t="s">
        <v>1273</v>
      </c>
      <c r="D738" s="199"/>
      <c r="E738" s="211" t="s">
        <v>1797</v>
      </c>
      <c r="F738" s="211">
        <v>378.57</v>
      </c>
      <c r="G738" s="211">
        <v>0</v>
      </c>
      <c r="H738" s="204">
        <v>0</v>
      </c>
      <c r="I738" s="205">
        <f t="shared" si="5"/>
        <v>454.28399999999999</v>
      </c>
    </row>
    <row r="739" spans="1:9" hidden="1" x14ac:dyDescent="0.3">
      <c r="A739" s="211" t="s">
        <v>1798</v>
      </c>
      <c r="B739" s="211" t="s">
        <v>497</v>
      </c>
      <c r="C739" s="211" t="s">
        <v>1478</v>
      </c>
      <c r="D739" s="199"/>
      <c r="E739" s="211" t="s">
        <v>1799</v>
      </c>
      <c r="F739" s="211">
        <v>1174.23</v>
      </c>
      <c r="G739" s="211">
        <v>0</v>
      </c>
      <c r="H739" s="204">
        <v>0</v>
      </c>
      <c r="I739" s="205">
        <f t="shared" si="5"/>
        <v>1409.076</v>
      </c>
    </row>
    <row r="740" spans="1:9" hidden="1" x14ac:dyDescent="0.3">
      <c r="A740" s="211" t="s">
        <v>1800</v>
      </c>
      <c r="B740" s="211" t="s">
        <v>251</v>
      </c>
      <c r="C740" s="211" t="s">
        <v>1273</v>
      </c>
      <c r="D740" s="199"/>
      <c r="E740" s="211" t="s">
        <v>1801</v>
      </c>
      <c r="F740" s="211">
        <v>374.62</v>
      </c>
      <c r="G740" s="211">
        <v>0</v>
      </c>
      <c r="H740" s="204">
        <v>0</v>
      </c>
      <c r="I740" s="205">
        <f t="shared" si="5"/>
        <v>449.54400000000004</v>
      </c>
    </row>
    <row r="741" spans="1:9" hidden="1" x14ac:dyDescent="0.3">
      <c r="A741" s="211" t="s">
        <v>1802</v>
      </c>
      <c r="B741" s="211" t="s">
        <v>524</v>
      </c>
      <c r="C741" s="211" t="s">
        <v>1478</v>
      </c>
      <c r="D741" s="199"/>
      <c r="E741" s="211" t="s">
        <v>1803</v>
      </c>
      <c r="F741" s="211">
        <v>1697.11</v>
      </c>
      <c r="G741" s="211">
        <v>0</v>
      </c>
      <c r="H741" s="204">
        <v>0</v>
      </c>
      <c r="I741" s="205">
        <f t="shared" si="5"/>
        <v>2036.5319999999997</v>
      </c>
    </row>
    <row r="742" spans="1:9" hidden="1" x14ac:dyDescent="0.3">
      <c r="A742" s="211" t="s">
        <v>1804</v>
      </c>
      <c r="B742" s="211" t="s">
        <v>280</v>
      </c>
      <c r="C742" s="211" t="s">
        <v>1273</v>
      </c>
      <c r="D742" s="199"/>
      <c r="E742" s="211" t="s">
        <v>1805</v>
      </c>
      <c r="F742" s="211">
        <v>300</v>
      </c>
      <c r="G742" s="211">
        <v>0</v>
      </c>
      <c r="H742" s="204">
        <v>0</v>
      </c>
      <c r="I742" s="205">
        <f t="shared" si="5"/>
        <v>360</v>
      </c>
    </row>
    <row r="743" spans="1:9" hidden="1" x14ac:dyDescent="0.3">
      <c r="A743" s="211" t="s">
        <v>1806</v>
      </c>
      <c r="B743" s="211" t="s">
        <v>1684</v>
      </c>
      <c r="C743" s="211" t="s">
        <v>1478</v>
      </c>
      <c r="D743" s="199"/>
      <c r="E743" s="211" t="s">
        <v>1807</v>
      </c>
      <c r="F743" s="211">
        <v>62.18</v>
      </c>
      <c r="G743" s="211">
        <v>0</v>
      </c>
      <c r="H743" s="204">
        <v>0</v>
      </c>
      <c r="I743" s="205">
        <f t="shared" si="5"/>
        <v>74.616</v>
      </c>
    </row>
    <row r="744" spans="1:9" hidden="1" x14ac:dyDescent="0.3">
      <c r="A744" s="211" t="s">
        <v>1808</v>
      </c>
      <c r="B744" s="211" t="s">
        <v>412</v>
      </c>
      <c r="C744" s="211" t="s">
        <v>1273</v>
      </c>
      <c r="D744" s="199"/>
      <c r="E744" s="211" t="s">
        <v>1809</v>
      </c>
      <c r="F744" s="211">
        <v>133.05000000000001</v>
      </c>
      <c r="G744" s="211">
        <v>0</v>
      </c>
      <c r="H744" s="204">
        <v>0</v>
      </c>
      <c r="I744" s="205">
        <f t="shared" si="5"/>
        <v>159.66000000000003</v>
      </c>
    </row>
    <row r="745" spans="1:9" hidden="1" x14ac:dyDescent="0.3">
      <c r="A745" s="211" t="s">
        <v>1810</v>
      </c>
      <c r="B745" s="211" t="s">
        <v>293</v>
      </c>
      <c r="C745" s="211" t="s">
        <v>1273</v>
      </c>
      <c r="D745" s="199"/>
      <c r="E745" s="211" t="s">
        <v>1811</v>
      </c>
      <c r="F745" s="211">
        <v>100</v>
      </c>
      <c r="G745" s="211">
        <v>0</v>
      </c>
      <c r="H745" s="204">
        <v>0</v>
      </c>
      <c r="I745" s="205">
        <f t="shared" ref="I745:I808" si="6">+F745/10*12</f>
        <v>120</v>
      </c>
    </row>
    <row r="746" spans="1:9" hidden="1" x14ac:dyDescent="0.3">
      <c r="A746" s="211" t="s">
        <v>1812</v>
      </c>
      <c r="B746" s="211" t="s">
        <v>457</v>
      </c>
      <c r="C746" s="211" t="s">
        <v>1478</v>
      </c>
      <c r="D746" s="199"/>
      <c r="E746" s="211" t="s">
        <v>1813</v>
      </c>
      <c r="F746" s="211">
        <v>473.63</v>
      </c>
      <c r="G746" s="211">
        <v>4166.7</v>
      </c>
      <c r="H746" s="204">
        <v>5000.0399999999991</v>
      </c>
      <c r="I746" s="205">
        <f t="shared" si="6"/>
        <v>568.35599999999999</v>
      </c>
    </row>
    <row r="747" spans="1:9" hidden="1" x14ac:dyDescent="0.3">
      <c r="A747" s="211" t="s">
        <v>1814</v>
      </c>
      <c r="B747" s="211" t="s">
        <v>251</v>
      </c>
      <c r="C747" s="211" t="s">
        <v>1273</v>
      </c>
      <c r="D747" s="199"/>
      <c r="E747" s="211" t="s">
        <v>1815</v>
      </c>
      <c r="F747" s="211">
        <v>136.43</v>
      </c>
      <c r="G747" s="211">
        <v>0</v>
      </c>
      <c r="H747" s="204">
        <v>0</v>
      </c>
      <c r="I747" s="205">
        <f t="shared" si="6"/>
        <v>163.71600000000001</v>
      </c>
    </row>
    <row r="748" spans="1:9" hidden="1" x14ac:dyDescent="0.3">
      <c r="A748" s="211" t="s">
        <v>1816</v>
      </c>
      <c r="B748" s="211" t="s">
        <v>290</v>
      </c>
      <c r="C748" s="211" t="s">
        <v>1273</v>
      </c>
      <c r="D748" s="199"/>
      <c r="E748" s="211" t="s">
        <v>1817</v>
      </c>
      <c r="F748" s="211">
        <v>2636.52</v>
      </c>
      <c r="G748" s="211">
        <v>0</v>
      </c>
      <c r="H748" s="204">
        <v>0</v>
      </c>
      <c r="I748" s="205">
        <f t="shared" si="6"/>
        <v>3163.8239999999996</v>
      </c>
    </row>
    <row r="749" spans="1:9" hidden="1" x14ac:dyDescent="0.3">
      <c r="A749" s="211" t="s">
        <v>1818</v>
      </c>
      <c r="B749" s="211" t="s">
        <v>290</v>
      </c>
      <c r="C749" s="211" t="s">
        <v>1478</v>
      </c>
      <c r="D749" s="199"/>
      <c r="E749" s="211" t="s">
        <v>1819</v>
      </c>
      <c r="F749" s="211">
        <v>-234.85</v>
      </c>
      <c r="G749" s="211">
        <v>0</v>
      </c>
      <c r="H749" s="204">
        <v>0</v>
      </c>
      <c r="I749" s="205">
        <f t="shared" si="6"/>
        <v>-281.82</v>
      </c>
    </row>
    <row r="750" spans="1:9" hidden="1" x14ac:dyDescent="0.3">
      <c r="A750" s="211" t="s">
        <v>1820</v>
      </c>
      <c r="B750" s="211" t="s">
        <v>422</v>
      </c>
      <c r="C750" s="211" t="s">
        <v>1821</v>
      </c>
      <c r="D750" s="199"/>
      <c r="E750" s="211" t="s">
        <v>1822</v>
      </c>
      <c r="F750" s="211">
        <v>53700.78</v>
      </c>
      <c r="G750" s="211">
        <v>8333.2999999999993</v>
      </c>
      <c r="H750" s="204">
        <v>9999.9599999999991</v>
      </c>
      <c r="I750" s="205">
        <f t="shared" si="6"/>
        <v>64440.935999999994</v>
      </c>
    </row>
    <row r="751" spans="1:9" hidden="1" x14ac:dyDescent="0.3">
      <c r="A751" s="211" t="s">
        <v>1823</v>
      </c>
      <c r="B751" s="211" t="s">
        <v>422</v>
      </c>
      <c r="C751" s="211" t="s">
        <v>1821</v>
      </c>
      <c r="D751" s="199"/>
      <c r="E751" s="211" t="s">
        <v>1824</v>
      </c>
      <c r="F751" s="211">
        <v>4279.72</v>
      </c>
      <c r="G751" s="211">
        <v>29166.7</v>
      </c>
      <c r="H751" s="204">
        <v>35000.04</v>
      </c>
      <c r="I751" s="205">
        <f t="shared" si="6"/>
        <v>5135.6640000000007</v>
      </c>
    </row>
    <row r="752" spans="1:9" hidden="1" x14ac:dyDescent="0.3">
      <c r="A752" s="211" t="s">
        <v>1825</v>
      </c>
      <c r="B752" s="211" t="s">
        <v>1661</v>
      </c>
      <c r="C752" s="211" t="s">
        <v>1821</v>
      </c>
      <c r="D752" s="199"/>
      <c r="E752" s="211" t="s">
        <v>1826</v>
      </c>
      <c r="F752" s="211">
        <v>22045.39</v>
      </c>
      <c r="G752" s="211">
        <v>4166.7</v>
      </c>
      <c r="H752" s="204">
        <v>5000.0399999999991</v>
      </c>
      <c r="I752" s="205">
        <f t="shared" si="6"/>
        <v>26454.467999999997</v>
      </c>
    </row>
    <row r="753" spans="1:11" hidden="1" x14ac:dyDescent="0.3">
      <c r="A753" s="211" t="s">
        <v>1827</v>
      </c>
      <c r="B753" s="211" t="s">
        <v>460</v>
      </c>
      <c r="C753" s="211" t="s">
        <v>1821</v>
      </c>
      <c r="D753" s="199"/>
      <c r="E753" s="211" t="s">
        <v>1828</v>
      </c>
      <c r="F753" s="211">
        <v>3707.76</v>
      </c>
      <c r="G753" s="211">
        <v>0</v>
      </c>
      <c r="H753" s="204">
        <v>0</v>
      </c>
      <c r="I753" s="205">
        <f t="shared" si="6"/>
        <v>4449.3119999999999</v>
      </c>
    </row>
    <row r="754" spans="1:11" hidden="1" x14ac:dyDescent="0.3">
      <c r="A754" s="211" t="s">
        <v>1829</v>
      </c>
      <c r="B754" s="211" t="s">
        <v>422</v>
      </c>
      <c r="C754" s="211" t="s">
        <v>1821</v>
      </c>
      <c r="D754" s="199"/>
      <c r="E754" s="211" t="s">
        <v>1830</v>
      </c>
      <c r="F754" s="211">
        <v>145750.51</v>
      </c>
      <c r="G754" s="211">
        <v>0</v>
      </c>
      <c r="H754" s="204">
        <v>0</v>
      </c>
      <c r="I754" s="205">
        <f t="shared" si="6"/>
        <v>174900.61200000002</v>
      </c>
    </row>
    <row r="755" spans="1:11" hidden="1" x14ac:dyDescent="0.3">
      <c r="A755" s="211" t="s">
        <v>1831</v>
      </c>
      <c r="B755" s="211" t="s">
        <v>473</v>
      </c>
      <c r="C755" s="211" t="s">
        <v>1821</v>
      </c>
      <c r="D755" s="199"/>
      <c r="E755" s="211" t="s">
        <v>1832</v>
      </c>
      <c r="F755" s="211">
        <v>13406.25</v>
      </c>
      <c r="G755" s="211">
        <v>7812.5</v>
      </c>
      <c r="H755" s="204">
        <v>9375</v>
      </c>
      <c r="I755" s="205">
        <f t="shared" si="6"/>
        <v>16087.5</v>
      </c>
    </row>
    <row r="756" spans="1:11" hidden="1" x14ac:dyDescent="0.3">
      <c r="A756" s="211" t="s">
        <v>1833</v>
      </c>
      <c r="B756" s="211" t="s">
        <v>485</v>
      </c>
      <c r="C756" s="211" t="s">
        <v>1834</v>
      </c>
      <c r="D756" s="199"/>
      <c r="E756" s="211" t="s">
        <v>1835</v>
      </c>
      <c r="F756" s="211">
        <v>0</v>
      </c>
      <c r="G756" s="211">
        <v>7812.5</v>
      </c>
      <c r="H756" s="204">
        <v>9375</v>
      </c>
      <c r="I756" s="205">
        <f t="shared" si="6"/>
        <v>0</v>
      </c>
    </row>
    <row r="757" spans="1:11" hidden="1" x14ac:dyDescent="0.3">
      <c r="A757" s="211" t="s">
        <v>1836</v>
      </c>
      <c r="B757" s="211" t="s">
        <v>251</v>
      </c>
      <c r="C757" s="211" t="s">
        <v>1821</v>
      </c>
      <c r="D757" s="199"/>
      <c r="E757" s="256" t="s">
        <v>1837</v>
      </c>
      <c r="F757" s="211">
        <v>699.46</v>
      </c>
      <c r="G757" s="211">
        <v>0</v>
      </c>
      <c r="H757" s="204">
        <v>0</v>
      </c>
      <c r="I757" s="205">
        <f t="shared" si="6"/>
        <v>839.35199999999998</v>
      </c>
      <c r="K757" s="259">
        <f>SUM(I733:I757)</f>
        <v>307129.66800000001</v>
      </c>
    </row>
    <row r="758" spans="1:11" hidden="1" x14ac:dyDescent="0.3">
      <c r="A758" s="211" t="s">
        <v>1838</v>
      </c>
      <c r="B758" s="211" t="s">
        <v>422</v>
      </c>
      <c r="C758" s="211" t="s">
        <v>1273</v>
      </c>
      <c r="D758" s="199"/>
      <c r="E758" s="211" t="s">
        <v>1839</v>
      </c>
      <c r="F758" s="211">
        <v>13916.33</v>
      </c>
      <c r="G758" s="211">
        <v>33333.300000000003</v>
      </c>
      <c r="H758" s="204">
        <v>39999.960000000006</v>
      </c>
      <c r="I758" s="205">
        <f t="shared" si="6"/>
        <v>16699.596000000001</v>
      </c>
    </row>
    <row r="759" spans="1:11" hidden="1" x14ac:dyDescent="0.3">
      <c r="A759" s="211" t="s">
        <v>1840</v>
      </c>
      <c r="B759" s="211" t="s">
        <v>454</v>
      </c>
      <c r="C759" s="211" t="s">
        <v>1273</v>
      </c>
      <c r="D759" s="199"/>
      <c r="E759" s="211" t="s">
        <v>1841</v>
      </c>
      <c r="F759" s="211">
        <v>3526.02</v>
      </c>
      <c r="G759" s="211">
        <v>4166.7</v>
      </c>
      <c r="H759" s="204">
        <v>5000.0399999999991</v>
      </c>
      <c r="I759" s="205">
        <f t="shared" si="6"/>
        <v>4231.2240000000002</v>
      </c>
    </row>
    <row r="760" spans="1:11" hidden="1" x14ac:dyDescent="0.3">
      <c r="A760" s="211" t="s">
        <v>1842</v>
      </c>
      <c r="B760" s="211" t="s">
        <v>457</v>
      </c>
      <c r="C760" s="211" t="s">
        <v>1273</v>
      </c>
      <c r="D760" s="199"/>
      <c r="E760" s="211" t="s">
        <v>1843</v>
      </c>
      <c r="F760" s="211">
        <v>100</v>
      </c>
      <c r="G760" s="211">
        <v>4166.7</v>
      </c>
      <c r="H760" s="204">
        <v>5000.0399999999991</v>
      </c>
      <c r="I760" s="205">
        <v>0</v>
      </c>
    </row>
    <row r="761" spans="1:11" hidden="1" x14ac:dyDescent="0.3">
      <c r="A761" s="211" t="s">
        <v>1844</v>
      </c>
      <c r="B761" s="211" t="s">
        <v>1700</v>
      </c>
      <c r="C761" s="211" t="s">
        <v>1845</v>
      </c>
      <c r="D761" s="199"/>
      <c r="E761" s="211" t="s">
        <v>1846</v>
      </c>
      <c r="F761" s="211">
        <v>6202.48</v>
      </c>
      <c r="G761" s="211">
        <v>20833.3</v>
      </c>
      <c r="H761" s="204">
        <v>24999.96</v>
      </c>
      <c r="I761" s="205">
        <f t="shared" si="6"/>
        <v>7442.9759999999987</v>
      </c>
    </row>
    <row r="762" spans="1:11" hidden="1" x14ac:dyDescent="0.3">
      <c r="A762" s="211" t="s">
        <v>1847</v>
      </c>
      <c r="B762" s="211" t="s">
        <v>422</v>
      </c>
      <c r="C762" s="211" t="s">
        <v>1273</v>
      </c>
      <c r="D762" s="199"/>
      <c r="E762" s="211" t="s">
        <v>1848</v>
      </c>
      <c r="F762" s="211">
        <v>1138.71</v>
      </c>
      <c r="G762" s="211">
        <v>0</v>
      </c>
      <c r="H762" s="204">
        <v>0</v>
      </c>
      <c r="I762" s="205">
        <f t="shared" si="6"/>
        <v>1366.4520000000002</v>
      </c>
    </row>
    <row r="763" spans="1:11" hidden="1" x14ac:dyDescent="0.3">
      <c r="A763" s="211" t="s">
        <v>1849</v>
      </c>
      <c r="B763" s="211" t="s">
        <v>251</v>
      </c>
      <c r="C763" s="211" t="s">
        <v>1273</v>
      </c>
      <c r="D763" s="199"/>
      <c r="E763" s="211" t="s">
        <v>1850</v>
      </c>
      <c r="F763" s="211">
        <v>84</v>
      </c>
      <c r="G763" s="211">
        <v>0</v>
      </c>
      <c r="H763" s="204">
        <v>0</v>
      </c>
      <c r="I763" s="205">
        <f t="shared" si="6"/>
        <v>100.80000000000001</v>
      </c>
    </row>
    <row r="764" spans="1:11" hidden="1" x14ac:dyDescent="0.3">
      <c r="A764" s="211" t="s">
        <v>1851</v>
      </c>
      <c r="B764" s="211" t="s">
        <v>422</v>
      </c>
      <c r="C764" s="211" t="s">
        <v>1273</v>
      </c>
      <c r="D764" s="199"/>
      <c r="E764" s="211" t="s">
        <v>1852</v>
      </c>
      <c r="F764" s="211">
        <v>440.5</v>
      </c>
      <c r="G764" s="211">
        <v>0</v>
      </c>
      <c r="H764" s="204">
        <v>0</v>
      </c>
      <c r="I764" s="205">
        <f t="shared" si="6"/>
        <v>528.59999999999991</v>
      </c>
    </row>
    <row r="765" spans="1:11" hidden="1" x14ac:dyDescent="0.3">
      <c r="A765" s="211" t="s">
        <v>1853</v>
      </c>
      <c r="B765" s="211" t="s">
        <v>263</v>
      </c>
      <c r="C765" s="211" t="s">
        <v>1845</v>
      </c>
      <c r="D765" s="199"/>
      <c r="E765" s="211" t="s">
        <v>1854</v>
      </c>
      <c r="F765" s="211">
        <v>2108.16</v>
      </c>
      <c r="G765" s="211">
        <v>4166.7</v>
      </c>
      <c r="H765" s="204">
        <v>5000.0399999999991</v>
      </c>
      <c r="I765" s="205">
        <f t="shared" si="6"/>
        <v>2529.7919999999995</v>
      </c>
    </row>
    <row r="766" spans="1:11" hidden="1" x14ac:dyDescent="0.3">
      <c r="A766" s="211" t="s">
        <v>1855</v>
      </c>
      <c r="B766" s="211" t="s">
        <v>412</v>
      </c>
      <c r="C766" s="211" t="s">
        <v>1273</v>
      </c>
      <c r="D766" s="199"/>
      <c r="E766" s="211" t="s">
        <v>1856</v>
      </c>
      <c r="F766" s="211">
        <v>33.950000000000003</v>
      </c>
      <c r="G766" s="211">
        <v>0</v>
      </c>
      <c r="H766" s="204">
        <v>0</v>
      </c>
      <c r="I766" s="205">
        <f t="shared" si="6"/>
        <v>40.740000000000009</v>
      </c>
    </row>
    <row r="767" spans="1:11" hidden="1" x14ac:dyDescent="0.3">
      <c r="A767" s="211" t="s">
        <v>1857</v>
      </c>
      <c r="B767" s="211" t="s">
        <v>290</v>
      </c>
      <c r="C767" s="211" t="s">
        <v>1845</v>
      </c>
      <c r="D767" s="199"/>
      <c r="E767" s="211" t="s">
        <v>1858</v>
      </c>
      <c r="F767" s="211">
        <v>0</v>
      </c>
      <c r="G767" s="211">
        <v>8333.2999999999993</v>
      </c>
      <c r="H767" s="204">
        <v>9999.9599999999991</v>
      </c>
      <c r="I767" s="205">
        <f t="shared" si="6"/>
        <v>0</v>
      </c>
    </row>
    <row r="768" spans="1:11" hidden="1" x14ac:dyDescent="0.3">
      <c r="A768" s="211" t="s">
        <v>1859</v>
      </c>
      <c r="B768" s="211" t="s">
        <v>1684</v>
      </c>
      <c r="C768" s="211" t="s">
        <v>1273</v>
      </c>
      <c r="D768" s="199"/>
      <c r="E768" s="211" t="s">
        <v>1860</v>
      </c>
      <c r="F768" s="211">
        <v>21163.62</v>
      </c>
      <c r="G768" s="211">
        <v>8333.2999999999993</v>
      </c>
      <c r="H768" s="204">
        <v>9999.9599999999991</v>
      </c>
      <c r="I768" s="205">
        <f t="shared" si="6"/>
        <v>25396.344000000001</v>
      </c>
    </row>
    <row r="769" spans="1:11" hidden="1" x14ac:dyDescent="0.3">
      <c r="A769" s="211" t="s">
        <v>1861</v>
      </c>
      <c r="B769" s="211" t="s">
        <v>293</v>
      </c>
      <c r="C769" s="211" t="s">
        <v>1273</v>
      </c>
      <c r="D769" s="199"/>
      <c r="E769" s="256" t="s">
        <v>1862</v>
      </c>
      <c r="F769" s="211">
        <v>2677</v>
      </c>
      <c r="G769" s="211">
        <v>0</v>
      </c>
      <c r="H769" s="204">
        <v>0</v>
      </c>
      <c r="I769" s="205">
        <f t="shared" si="6"/>
        <v>3212.3999999999996</v>
      </c>
      <c r="K769" s="259">
        <f>SUM(I758:I769)</f>
        <v>61548.923999999992</v>
      </c>
    </row>
    <row r="770" spans="1:11" hidden="1" x14ac:dyDescent="0.3">
      <c r="A770" s="211" t="s">
        <v>1863</v>
      </c>
      <c r="B770" s="211" t="s">
        <v>422</v>
      </c>
      <c r="C770" s="211" t="s">
        <v>1864</v>
      </c>
      <c r="D770" s="199"/>
      <c r="E770" s="211" t="s">
        <v>55</v>
      </c>
      <c r="F770" s="211">
        <v>86870.04</v>
      </c>
      <c r="G770" s="211">
        <v>77418.92</v>
      </c>
      <c r="H770" s="204">
        <v>92902.703999999998</v>
      </c>
      <c r="I770" s="205">
        <f t="shared" si="6"/>
        <v>104244.04799999998</v>
      </c>
    </row>
    <row r="771" spans="1:11" hidden="1" x14ac:dyDescent="0.3">
      <c r="A771" s="211" t="s">
        <v>1865</v>
      </c>
      <c r="B771" s="211" t="s">
        <v>251</v>
      </c>
      <c r="C771" s="211" t="s">
        <v>1287</v>
      </c>
      <c r="D771" s="199"/>
      <c r="E771" s="211" t="s">
        <v>1866</v>
      </c>
      <c r="F771" s="211">
        <v>2400</v>
      </c>
      <c r="G771" s="211">
        <v>2400</v>
      </c>
      <c r="H771" s="204">
        <v>2880</v>
      </c>
      <c r="I771" s="205">
        <f t="shared" si="6"/>
        <v>2880</v>
      </c>
    </row>
    <row r="772" spans="1:11" hidden="1" x14ac:dyDescent="0.3">
      <c r="A772" s="211" t="s">
        <v>1867</v>
      </c>
      <c r="B772" s="211" t="s">
        <v>257</v>
      </c>
      <c r="C772" s="211" t="s">
        <v>1287</v>
      </c>
      <c r="D772" s="199"/>
      <c r="E772" s="211" t="s">
        <v>1868</v>
      </c>
      <c r="F772" s="211">
        <v>1200</v>
      </c>
      <c r="G772" s="211">
        <v>1200</v>
      </c>
      <c r="H772" s="204">
        <v>1440</v>
      </c>
      <c r="I772" s="205">
        <f t="shared" si="6"/>
        <v>1440</v>
      </c>
    </row>
    <row r="773" spans="1:11" hidden="1" x14ac:dyDescent="0.3">
      <c r="A773" s="211" t="s">
        <v>1869</v>
      </c>
      <c r="B773" s="211" t="s">
        <v>293</v>
      </c>
      <c r="C773" s="211" t="s">
        <v>1864</v>
      </c>
      <c r="D773" s="199"/>
      <c r="E773" s="211" t="s">
        <v>1870</v>
      </c>
      <c r="F773" s="211">
        <v>1200</v>
      </c>
      <c r="G773" s="211">
        <v>1200</v>
      </c>
      <c r="H773" s="204">
        <v>1440</v>
      </c>
      <c r="I773" s="205">
        <f t="shared" si="6"/>
        <v>1440</v>
      </c>
    </row>
    <row r="774" spans="1:11" hidden="1" x14ac:dyDescent="0.3">
      <c r="A774" s="211" t="s">
        <v>1871</v>
      </c>
      <c r="B774" s="211" t="s">
        <v>293</v>
      </c>
      <c r="C774" s="211" t="s">
        <v>1864</v>
      </c>
      <c r="D774" s="199"/>
      <c r="E774" s="211" t="s">
        <v>1872</v>
      </c>
      <c r="F774" s="211">
        <v>1200</v>
      </c>
      <c r="G774" s="211">
        <v>1200</v>
      </c>
      <c r="H774" s="204">
        <v>1440</v>
      </c>
      <c r="I774" s="205">
        <f t="shared" si="6"/>
        <v>1440</v>
      </c>
    </row>
    <row r="775" spans="1:11" hidden="1" x14ac:dyDescent="0.3">
      <c r="A775" s="211" t="s">
        <v>1873</v>
      </c>
      <c r="B775" s="211" t="s">
        <v>293</v>
      </c>
      <c r="C775" s="211" t="s">
        <v>1864</v>
      </c>
      <c r="D775" s="199"/>
      <c r="E775" s="211" t="s">
        <v>1874</v>
      </c>
      <c r="F775" s="211">
        <v>1200</v>
      </c>
      <c r="G775" s="211">
        <v>1200</v>
      </c>
      <c r="H775" s="204">
        <v>1440</v>
      </c>
      <c r="I775" s="205">
        <f t="shared" si="6"/>
        <v>1440</v>
      </c>
    </row>
    <row r="776" spans="1:11" hidden="1" x14ac:dyDescent="0.3">
      <c r="A776" s="211" t="s">
        <v>1875</v>
      </c>
      <c r="B776" s="211" t="s">
        <v>293</v>
      </c>
      <c r="C776" s="211" t="s">
        <v>1864</v>
      </c>
      <c r="D776" s="199"/>
      <c r="E776" s="256" t="s">
        <v>1876</v>
      </c>
      <c r="F776" s="211">
        <v>37326</v>
      </c>
      <c r="G776" s="211">
        <v>34000</v>
      </c>
      <c r="H776" s="204">
        <v>40800</v>
      </c>
      <c r="I776" s="205">
        <f t="shared" si="6"/>
        <v>44791.199999999997</v>
      </c>
      <c r="K776" s="226"/>
    </row>
    <row r="777" spans="1:11" hidden="1" x14ac:dyDescent="0.3">
      <c r="A777" s="211" t="s">
        <v>1877</v>
      </c>
      <c r="B777" s="211" t="s">
        <v>457</v>
      </c>
      <c r="C777" s="211" t="s">
        <v>1878</v>
      </c>
      <c r="D777" s="199"/>
      <c r="E777" s="256" t="s">
        <v>1879</v>
      </c>
      <c r="F777" s="211">
        <v>18195.5</v>
      </c>
      <c r="G777" s="211">
        <v>20000</v>
      </c>
      <c r="H777" s="204">
        <v>24000</v>
      </c>
      <c r="I777" s="205">
        <f t="shared" si="6"/>
        <v>21834.6</v>
      </c>
      <c r="K777" s="259">
        <f>SUM(I770:I777)</f>
        <v>179509.84799999997</v>
      </c>
    </row>
    <row r="778" spans="1:11" hidden="1" x14ac:dyDescent="0.3">
      <c r="A778" s="211" t="s">
        <v>1880</v>
      </c>
      <c r="B778" s="211" t="s">
        <v>454</v>
      </c>
      <c r="C778" s="211" t="s">
        <v>1881</v>
      </c>
      <c r="D778" s="199"/>
      <c r="E778" s="211" t="s">
        <v>1882</v>
      </c>
      <c r="F778" s="211">
        <v>12534.99</v>
      </c>
      <c r="G778" s="211">
        <v>8333.2999999999993</v>
      </c>
      <c r="H778" s="204">
        <v>9999.9599999999991</v>
      </c>
      <c r="I778" s="205">
        <f t="shared" si="6"/>
        <v>15041.988000000001</v>
      </c>
    </row>
    <row r="779" spans="1:11" hidden="1" x14ac:dyDescent="0.3">
      <c r="A779" s="211" t="s">
        <v>1883</v>
      </c>
      <c r="B779" s="211" t="s">
        <v>402</v>
      </c>
      <c r="C779" s="211" t="s">
        <v>1881</v>
      </c>
      <c r="D779" s="199"/>
      <c r="E779" s="211" t="s">
        <v>1884</v>
      </c>
      <c r="F779" s="211">
        <v>9901.67</v>
      </c>
      <c r="G779" s="211">
        <v>0</v>
      </c>
      <c r="H779" s="204">
        <v>0</v>
      </c>
      <c r="I779" s="205">
        <f t="shared" si="6"/>
        <v>11882.004000000001</v>
      </c>
    </row>
    <row r="780" spans="1:11" hidden="1" x14ac:dyDescent="0.3">
      <c r="A780" s="211" t="s">
        <v>1885</v>
      </c>
      <c r="B780" s="211" t="s">
        <v>454</v>
      </c>
      <c r="C780" s="211" t="s">
        <v>1881</v>
      </c>
      <c r="D780" s="199"/>
      <c r="E780" s="256" t="s">
        <v>1882</v>
      </c>
      <c r="F780" s="211">
        <v>43.3</v>
      </c>
      <c r="G780" s="211">
        <v>0</v>
      </c>
      <c r="H780" s="204">
        <v>0</v>
      </c>
      <c r="I780" s="205">
        <f t="shared" si="6"/>
        <v>51.96</v>
      </c>
      <c r="K780" s="226"/>
    </row>
    <row r="781" spans="1:11" hidden="1" x14ac:dyDescent="0.3">
      <c r="A781" s="211" t="s">
        <v>1886</v>
      </c>
      <c r="B781" s="211" t="s">
        <v>454</v>
      </c>
      <c r="C781" s="211" t="s">
        <v>1887</v>
      </c>
      <c r="D781" s="199"/>
      <c r="E781" s="256" t="s">
        <v>1888</v>
      </c>
      <c r="F781" s="211">
        <v>531.27</v>
      </c>
      <c r="G781" s="211">
        <v>0</v>
      </c>
      <c r="H781" s="204">
        <v>0</v>
      </c>
      <c r="I781" s="205">
        <f t="shared" si="6"/>
        <v>637.52399999999989</v>
      </c>
      <c r="K781" s="259">
        <f>SUM(I778:I781)</f>
        <v>27613.476000000002</v>
      </c>
    </row>
    <row r="782" spans="1:11" hidden="1" x14ac:dyDescent="0.3">
      <c r="A782" s="211" t="s">
        <v>1889</v>
      </c>
      <c r="B782" s="211" t="s">
        <v>1890</v>
      </c>
      <c r="C782" s="211" t="s">
        <v>1287</v>
      </c>
      <c r="D782" s="199"/>
      <c r="E782" s="257" t="s">
        <v>1891</v>
      </c>
      <c r="F782" s="220">
        <v>587.26</v>
      </c>
      <c r="G782" s="220">
        <v>0</v>
      </c>
      <c r="H782" s="221">
        <v>0</v>
      </c>
      <c r="I782" s="258">
        <f t="shared" si="6"/>
        <v>704.71199999999999</v>
      </c>
    </row>
    <row r="783" spans="1:11" hidden="1" x14ac:dyDescent="0.3">
      <c r="A783" s="211" t="s">
        <v>1892</v>
      </c>
      <c r="B783" s="211" t="s">
        <v>247</v>
      </c>
      <c r="C783" s="211" t="s">
        <v>1287</v>
      </c>
      <c r="D783" s="199"/>
      <c r="E783" s="257" t="s">
        <v>1893</v>
      </c>
      <c r="F783" s="220">
        <v>4578.5</v>
      </c>
      <c r="G783" s="220">
        <v>4583.3</v>
      </c>
      <c r="H783" s="221">
        <v>5499.9600000000009</v>
      </c>
      <c r="I783" s="258">
        <f t="shared" si="6"/>
        <v>5494.2000000000007</v>
      </c>
    </row>
    <row r="784" spans="1:11" hidden="1" x14ac:dyDescent="0.3">
      <c r="A784" s="211" t="s">
        <v>1894</v>
      </c>
      <c r="B784" s="211" t="s">
        <v>1423</v>
      </c>
      <c r="C784" s="211" t="s">
        <v>1510</v>
      </c>
      <c r="D784" s="199"/>
      <c r="E784" s="257" t="s">
        <v>1895</v>
      </c>
      <c r="F784" s="220">
        <v>0</v>
      </c>
      <c r="G784" s="220">
        <v>5000</v>
      </c>
      <c r="H784" s="221">
        <v>6000</v>
      </c>
      <c r="I784" s="258">
        <f t="shared" si="6"/>
        <v>0</v>
      </c>
    </row>
    <row r="785" spans="1:9" hidden="1" x14ac:dyDescent="0.3">
      <c r="A785" s="211" t="s">
        <v>1896</v>
      </c>
      <c r="B785" s="211" t="s">
        <v>1423</v>
      </c>
      <c r="C785" s="211" t="s">
        <v>1897</v>
      </c>
      <c r="D785" s="199"/>
      <c r="E785" s="257" t="s">
        <v>1898</v>
      </c>
      <c r="F785" s="220">
        <v>2000</v>
      </c>
      <c r="G785" s="220">
        <v>2000</v>
      </c>
      <c r="H785" s="221">
        <v>2400</v>
      </c>
      <c r="I785" s="258">
        <f t="shared" si="6"/>
        <v>2400</v>
      </c>
    </row>
    <row r="786" spans="1:9" hidden="1" x14ac:dyDescent="0.3">
      <c r="A786" s="211" t="s">
        <v>1899</v>
      </c>
      <c r="B786" s="211" t="s">
        <v>260</v>
      </c>
      <c r="C786" s="211" t="s">
        <v>1897</v>
      </c>
      <c r="D786" s="199"/>
      <c r="E786" s="257" t="s">
        <v>1900</v>
      </c>
      <c r="F786" s="220">
        <v>13287.57</v>
      </c>
      <c r="G786" s="220">
        <v>6000</v>
      </c>
      <c r="H786" s="221">
        <v>7200</v>
      </c>
      <c r="I786" s="258">
        <f t="shared" si="6"/>
        <v>15945.084000000001</v>
      </c>
    </row>
    <row r="787" spans="1:9" hidden="1" x14ac:dyDescent="0.3">
      <c r="A787" s="211" t="s">
        <v>1901</v>
      </c>
      <c r="B787" s="211" t="s">
        <v>263</v>
      </c>
      <c r="C787" s="211" t="s">
        <v>1897</v>
      </c>
      <c r="D787" s="199"/>
      <c r="E787" s="257" t="s">
        <v>1902</v>
      </c>
      <c r="F787" s="220">
        <v>1095481.8500000001</v>
      </c>
      <c r="G787" s="220">
        <v>459333.3</v>
      </c>
      <c r="H787" s="221">
        <v>551199.96</v>
      </c>
      <c r="I787" s="258">
        <f t="shared" si="6"/>
        <v>1314578.2200000002</v>
      </c>
    </row>
    <row r="788" spans="1:9" hidden="1" x14ac:dyDescent="0.3">
      <c r="A788" s="211" t="s">
        <v>1903</v>
      </c>
      <c r="B788" s="211" t="s">
        <v>263</v>
      </c>
      <c r="C788" s="211" t="s">
        <v>1897</v>
      </c>
      <c r="D788" s="199"/>
      <c r="E788" s="257" t="s">
        <v>1904</v>
      </c>
      <c r="F788" s="220">
        <v>54009.04</v>
      </c>
      <c r="G788" s="220">
        <v>79416.7</v>
      </c>
      <c r="H788" s="221">
        <v>95300.040000000008</v>
      </c>
      <c r="I788" s="258">
        <f t="shared" si="6"/>
        <v>64810.848000000005</v>
      </c>
    </row>
    <row r="789" spans="1:9" hidden="1" x14ac:dyDescent="0.3">
      <c r="A789" s="211" t="s">
        <v>1905</v>
      </c>
      <c r="B789" s="211" t="s">
        <v>263</v>
      </c>
      <c r="C789" s="211" t="s">
        <v>1897</v>
      </c>
      <c r="D789" s="199"/>
      <c r="E789" s="257" t="s">
        <v>1906</v>
      </c>
      <c r="F789" s="220">
        <v>50103.34</v>
      </c>
      <c r="G789" s="220">
        <v>105750</v>
      </c>
      <c r="H789" s="221">
        <v>126900</v>
      </c>
      <c r="I789" s="258">
        <f t="shared" si="6"/>
        <v>60124.008000000002</v>
      </c>
    </row>
    <row r="790" spans="1:9" hidden="1" x14ac:dyDescent="0.3">
      <c r="A790" s="211" t="s">
        <v>1907</v>
      </c>
      <c r="B790" s="211" t="s">
        <v>263</v>
      </c>
      <c r="C790" s="211" t="s">
        <v>1897</v>
      </c>
      <c r="D790" s="199"/>
      <c r="E790" s="257" t="s">
        <v>1908</v>
      </c>
      <c r="F790" s="220">
        <v>72997.73</v>
      </c>
      <c r="G790" s="220">
        <v>58916.7</v>
      </c>
      <c r="H790" s="221">
        <v>70700.040000000008</v>
      </c>
      <c r="I790" s="258">
        <f t="shared" si="6"/>
        <v>87597.275999999983</v>
      </c>
    </row>
    <row r="791" spans="1:9" hidden="1" x14ac:dyDescent="0.3">
      <c r="A791" s="211" t="s">
        <v>1909</v>
      </c>
      <c r="B791" s="211" t="s">
        <v>263</v>
      </c>
      <c r="C791" s="211" t="s">
        <v>1897</v>
      </c>
      <c r="D791" s="199"/>
      <c r="E791" s="257" t="s">
        <v>1910</v>
      </c>
      <c r="F791" s="220">
        <v>4349.33</v>
      </c>
      <c r="G791" s="220">
        <v>0</v>
      </c>
      <c r="H791" s="221">
        <v>0</v>
      </c>
      <c r="I791" s="258">
        <f t="shared" si="6"/>
        <v>5219.1959999999999</v>
      </c>
    </row>
    <row r="792" spans="1:9" hidden="1" x14ac:dyDescent="0.3">
      <c r="A792" s="211" t="s">
        <v>1911</v>
      </c>
      <c r="B792" s="211" t="s">
        <v>260</v>
      </c>
      <c r="C792" s="211" t="s">
        <v>1897</v>
      </c>
      <c r="D792" s="199"/>
      <c r="E792" s="257" t="s">
        <v>1912</v>
      </c>
      <c r="F792" s="220">
        <v>55942.2</v>
      </c>
      <c r="G792" s="220">
        <v>54166.7</v>
      </c>
      <c r="H792" s="221">
        <v>65000.04</v>
      </c>
      <c r="I792" s="258">
        <f t="shared" si="6"/>
        <v>67130.639999999985</v>
      </c>
    </row>
    <row r="793" spans="1:9" hidden="1" x14ac:dyDescent="0.3">
      <c r="A793" s="211" t="s">
        <v>1913</v>
      </c>
      <c r="B793" s="211" t="s">
        <v>524</v>
      </c>
      <c r="C793" s="211" t="s">
        <v>1897</v>
      </c>
      <c r="D793" s="199"/>
      <c r="E793" s="257" t="s">
        <v>1914</v>
      </c>
      <c r="F793" s="220">
        <v>92969.09</v>
      </c>
      <c r="G793" s="220">
        <v>29166.7</v>
      </c>
      <c r="H793" s="221">
        <v>35000.04</v>
      </c>
      <c r="I793" s="258">
        <f t="shared" si="6"/>
        <v>111562.908</v>
      </c>
    </row>
    <row r="794" spans="1:9" hidden="1" x14ac:dyDescent="0.3">
      <c r="A794" s="211" t="s">
        <v>1915</v>
      </c>
      <c r="B794" s="211" t="s">
        <v>260</v>
      </c>
      <c r="C794" s="211" t="s">
        <v>1897</v>
      </c>
      <c r="D794" s="199"/>
      <c r="E794" s="257" t="s">
        <v>1916</v>
      </c>
      <c r="F794" s="220">
        <v>5779.79</v>
      </c>
      <c r="G794" s="220">
        <v>60000</v>
      </c>
      <c r="H794" s="221">
        <v>72000</v>
      </c>
      <c r="I794" s="258">
        <f t="shared" si="6"/>
        <v>6935.7480000000005</v>
      </c>
    </row>
    <row r="795" spans="1:9" hidden="1" x14ac:dyDescent="0.3">
      <c r="A795" s="211" t="s">
        <v>1917</v>
      </c>
      <c r="B795" s="211" t="s">
        <v>303</v>
      </c>
      <c r="C795" s="211" t="s">
        <v>1287</v>
      </c>
      <c r="D795" s="199"/>
      <c r="E795" s="257" t="s">
        <v>1918</v>
      </c>
      <c r="F795" s="220">
        <v>4809</v>
      </c>
      <c r="G795" s="220">
        <v>0</v>
      </c>
      <c r="H795" s="221">
        <v>0</v>
      </c>
      <c r="I795" s="258">
        <f t="shared" si="6"/>
        <v>5770.7999999999993</v>
      </c>
    </row>
    <row r="796" spans="1:9" hidden="1" x14ac:dyDescent="0.3">
      <c r="A796" s="211" t="s">
        <v>1919</v>
      </c>
      <c r="B796" s="211" t="s">
        <v>280</v>
      </c>
      <c r="C796" s="211" t="s">
        <v>1897</v>
      </c>
      <c r="D796" s="199"/>
      <c r="E796" s="257" t="s">
        <v>1920</v>
      </c>
      <c r="F796" s="220">
        <v>30221</v>
      </c>
      <c r="G796" s="220">
        <v>28650</v>
      </c>
      <c r="H796" s="221">
        <v>34380</v>
      </c>
      <c r="I796" s="258">
        <f t="shared" si="6"/>
        <v>36265.199999999997</v>
      </c>
    </row>
    <row r="797" spans="1:9" hidden="1" x14ac:dyDescent="0.3">
      <c r="A797" s="211" t="s">
        <v>1921</v>
      </c>
      <c r="B797" s="211" t="s">
        <v>280</v>
      </c>
      <c r="C797" s="211" t="s">
        <v>1897</v>
      </c>
      <c r="D797" s="199"/>
      <c r="E797" s="257" t="s">
        <v>1922</v>
      </c>
      <c r="F797" s="220">
        <v>8267.06</v>
      </c>
      <c r="G797" s="220">
        <v>8333.2999999999993</v>
      </c>
      <c r="H797" s="221">
        <v>9999.9599999999991</v>
      </c>
      <c r="I797" s="258">
        <f t="shared" si="6"/>
        <v>9920.4719999999979</v>
      </c>
    </row>
    <row r="798" spans="1:9" hidden="1" x14ac:dyDescent="0.3">
      <c r="A798" s="211" t="s">
        <v>1923</v>
      </c>
      <c r="B798" s="211" t="s">
        <v>303</v>
      </c>
      <c r="C798" s="211" t="s">
        <v>1897</v>
      </c>
      <c r="D798" s="199"/>
      <c r="E798" s="257" t="s">
        <v>1924</v>
      </c>
      <c r="F798" s="220">
        <v>38070.720000000001</v>
      </c>
      <c r="G798" s="220">
        <v>37500</v>
      </c>
      <c r="H798" s="221">
        <v>45000</v>
      </c>
      <c r="I798" s="258">
        <f t="shared" si="6"/>
        <v>45684.864000000001</v>
      </c>
    </row>
    <row r="799" spans="1:9" hidden="1" x14ac:dyDescent="0.3">
      <c r="A799" s="211" t="s">
        <v>1925</v>
      </c>
      <c r="B799" s="211" t="s">
        <v>1493</v>
      </c>
      <c r="C799" s="211" t="s">
        <v>1287</v>
      </c>
      <c r="D799" s="199"/>
      <c r="E799" s="257" t="s">
        <v>1926</v>
      </c>
      <c r="F799" s="220">
        <v>0</v>
      </c>
      <c r="G799" s="220">
        <v>20833.3</v>
      </c>
      <c r="H799" s="221">
        <v>24999.96</v>
      </c>
      <c r="I799" s="258">
        <f t="shared" si="6"/>
        <v>0</v>
      </c>
    </row>
    <row r="800" spans="1:9" hidden="1" x14ac:dyDescent="0.3">
      <c r="A800" s="211" t="s">
        <v>1927</v>
      </c>
      <c r="B800" s="211" t="s">
        <v>1423</v>
      </c>
      <c r="C800" s="211" t="s">
        <v>1897</v>
      </c>
      <c r="D800" s="199"/>
      <c r="E800" s="257" t="s">
        <v>1928</v>
      </c>
      <c r="F800" s="220">
        <v>231671.1</v>
      </c>
      <c r="G800" s="220">
        <v>230071.1</v>
      </c>
      <c r="H800" s="221">
        <v>276085.32</v>
      </c>
      <c r="I800" s="258">
        <f t="shared" si="6"/>
        <v>278005.32</v>
      </c>
    </row>
    <row r="801" spans="1:11" hidden="1" x14ac:dyDescent="0.3">
      <c r="A801" s="211" t="s">
        <v>1929</v>
      </c>
      <c r="B801" s="211" t="s">
        <v>1423</v>
      </c>
      <c r="C801" s="211" t="s">
        <v>1510</v>
      </c>
      <c r="D801" s="199"/>
      <c r="E801" s="257" t="s">
        <v>1930</v>
      </c>
      <c r="F801" s="220">
        <v>2400</v>
      </c>
      <c r="G801" s="220">
        <v>6250</v>
      </c>
      <c r="H801" s="221">
        <v>7500</v>
      </c>
      <c r="I801" s="258">
        <f t="shared" si="6"/>
        <v>2880</v>
      </c>
    </row>
    <row r="802" spans="1:11" hidden="1" x14ac:dyDescent="0.3">
      <c r="A802" s="211" t="s">
        <v>1931</v>
      </c>
      <c r="B802" s="211" t="s">
        <v>1423</v>
      </c>
      <c r="C802" s="211" t="s">
        <v>1897</v>
      </c>
      <c r="D802" s="199"/>
      <c r="E802" s="256" t="s">
        <v>1932</v>
      </c>
      <c r="F802" s="220">
        <v>9246.2199999999993</v>
      </c>
      <c r="G802" s="220">
        <v>7500</v>
      </c>
      <c r="H802" s="221">
        <v>9000</v>
      </c>
      <c r="I802" s="222">
        <f t="shared" si="6"/>
        <v>11095.464</v>
      </c>
      <c r="K802" s="259">
        <f>SUM(I782:I802)</f>
        <v>2132124.9600000004</v>
      </c>
    </row>
    <row r="803" spans="1:11" hidden="1" x14ac:dyDescent="0.3">
      <c r="A803" s="211" t="s">
        <v>1933</v>
      </c>
      <c r="B803" s="211" t="s">
        <v>1423</v>
      </c>
      <c r="C803" s="211" t="s">
        <v>1934</v>
      </c>
      <c r="D803" s="199"/>
      <c r="E803" s="257" t="s">
        <v>1935</v>
      </c>
      <c r="F803" s="220">
        <v>0</v>
      </c>
      <c r="G803" s="220">
        <v>14583.3</v>
      </c>
      <c r="H803" s="221">
        <v>17499.96</v>
      </c>
      <c r="I803" s="258">
        <f t="shared" si="6"/>
        <v>0</v>
      </c>
    </row>
    <row r="804" spans="1:11" hidden="1" x14ac:dyDescent="0.3">
      <c r="A804" s="211" t="s">
        <v>1936</v>
      </c>
      <c r="B804" s="211" t="s">
        <v>1423</v>
      </c>
      <c r="C804" s="211" t="s">
        <v>1934</v>
      </c>
      <c r="D804" s="199"/>
      <c r="E804" s="257" t="s">
        <v>1937</v>
      </c>
      <c r="F804" s="220">
        <v>1492.97</v>
      </c>
      <c r="G804" s="220">
        <v>1666.7</v>
      </c>
      <c r="H804" s="221">
        <v>2000.0400000000002</v>
      </c>
      <c r="I804" s="258">
        <f t="shared" si="6"/>
        <v>1791.5639999999999</v>
      </c>
    </row>
    <row r="805" spans="1:11" hidden="1" x14ac:dyDescent="0.3">
      <c r="A805" s="211" t="s">
        <v>1938</v>
      </c>
      <c r="B805" s="211" t="s">
        <v>1423</v>
      </c>
      <c r="C805" s="211" t="s">
        <v>1934</v>
      </c>
      <c r="D805" s="199"/>
      <c r="E805" s="257" t="s">
        <v>1939</v>
      </c>
      <c r="F805" s="220">
        <v>4489.93</v>
      </c>
      <c r="G805" s="220">
        <v>5000</v>
      </c>
      <c r="H805" s="221">
        <v>6000</v>
      </c>
      <c r="I805" s="258">
        <f t="shared" si="6"/>
        <v>5387.9160000000011</v>
      </c>
    </row>
    <row r="806" spans="1:11" hidden="1" x14ac:dyDescent="0.3">
      <c r="A806" s="211" t="s">
        <v>1940</v>
      </c>
      <c r="B806" s="211" t="s">
        <v>251</v>
      </c>
      <c r="C806" s="211" t="s">
        <v>1287</v>
      </c>
      <c r="D806" s="199"/>
      <c r="E806" s="257" t="s">
        <v>1941</v>
      </c>
      <c r="F806" s="220">
        <v>5162.79</v>
      </c>
      <c r="G806" s="220">
        <v>5166.7</v>
      </c>
      <c r="H806" s="221">
        <v>6200.0399999999991</v>
      </c>
      <c r="I806" s="258">
        <f t="shared" si="6"/>
        <v>6195.348</v>
      </c>
    </row>
    <row r="807" spans="1:11" hidden="1" x14ac:dyDescent="0.3">
      <c r="A807" s="211" t="s">
        <v>1942</v>
      </c>
      <c r="B807" s="211" t="s">
        <v>257</v>
      </c>
      <c r="C807" s="211" t="s">
        <v>1499</v>
      </c>
      <c r="D807" s="199"/>
      <c r="E807" s="257" t="s">
        <v>1943</v>
      </c>
      <c r="F807" s="220">
        <v>3912.3</v>
      </c>
      <c r="G807" s="220">
        <v>4166.7</v>
      </c>
      <c r="H807" s="221">
        <v>5000.0399999999991</v>
      </c>
      <c r="I807" s="258">
        <f t="shared" si="6"/>
        <v>4694.76</v>
      </c>
    </row>
    <row r="808" spans="1:11" hidden="1" x14ac:dyDescent="0.3">
      <c r="A808" s="211" t="s">
        <v>1944</v>
      </c>
      <c r="B808" s="211" t="s">
        <v>293</v>
      </c>
      <c r="C808" s="211" t="s">
        <v>1934</v>
      </c>
      <c r="D808" s="199"/>
      <c r="E808" s="257" t="s">
        <v>1945</v>
      </c>
      <c r="F808" s="220">
        <v>4557.8999999999996</v>
      </c>
      <c r="G808" s="220">
        <v>4583.3</v>
      </c>
      <c r="H808" s="221">
        <v>5499.9600000000009</v>
      </c>
      <c r="I808" s="258">
        <f t="shared" si="6"/>
        <v>5469.48</v>
      </c>
    </row>
    <row r="809" spans="1:11" hidden="1" x14ac:dyDescent="0.3">
      <c r="A809" s="211" t="s">
        <v>1946</v>
      </c>
      <c r="B809" s="211" t="s">
        <v>293</v>
      </c>
      <c r="C809" s="211" t="s">
        <v>1934</v>
      </c>
      <c r="D809" s="199"/>
      <c r="E809" s="257" t="s">
        <v>1947</v>
      </c>
      <c r="F809" s="220">
        <v>2461.4899999999998</v>
      </c>
      <c r="G809" s="220">
        <v>2916.7</v>
      </c>
      <c r="H809" s="221">
        <v>3500.0399999999995</v>
      </c>
      <c r="I809" s="258">
        <f t="shared" ref="I809:I872" si="7">+F809/10*12</f>
        <v>2953.7879999999996</v>
      </c>
    </row>
    <row r="810" spans="1:11" hidden="1" x14ac:dyDescent="0.3">
      <c r="A810" s="211" t="s">
        <v>1948</v>
      </c>
      <c r="B810" s="211" t="s">
        <v>293</v>
      </c>
      <c r="C810" s="211" t="s">
        <v>1934</v>
      </c>
      <c r="D810" s="199"/>
      <c r="E810" s="257" t="s">
        <v>1949</v>
      </c>
      <c r="F810" s="220">
        <v>2401.7399999999998</v>
      </c>
      <c r="G810" s="220">
        <v>2666.7</v>
      </c>
      <c r="H810" s="221">
        <v>3200.0399999999995</v>
      </c>
      <c r="I810" s="258">
        <f t="shared" si="7"/>
        <v>2882.0879999999997</v>
      </c>
    </row>
    <row r="811" spans="1:11" hidden="1" x14ac:dyDescent="0.3">
      <c r="A811" s="211" t="s">
        <v>1950</v>
      </c>
      <c r="B811" s="211" t="s">
        <v>293</v>
      </c>
      <c r="C811" s="211" t="s">
        <v>1934</v>
      </c>
      <c r="D811" s="199"/>
      <c r="E811" s="257" t="s">
        <v>1951</v>
      </c>
      <c r="F811" s="220">
        <v>0</v>
      </c>
      <c r="G811" s="220">
        <v>58333.3</v>
      </c>
      <c r="H811" s="221">
        <v>69999.959999999992</v>
      </c>
      <c r="I811" s="258">
        <f t="shared" si="7"/>
        <v>0</v>
      </c>
    </row>
    <row r="812" spans="1:11" hidden="1" x14ac:dyDescent="0.3">
      <c r="A812" s="211" t="s">
        <v>1952</v>
      </c>
      <c r="B812" s="211" t="s">
        <v>293</v>
      </c>
      <c r="C812" s="211" t="s">
        <v>1934</v>
      </c>
      <c r="D812" s="199"/>
      <c r="E812" s="257" t="s">
        <v>1953</v>
      </c>
      <c r="F812" s="220">
        <v>1421.65</v>
      </c>
      <c r="G812" s="220">
        <v>0</v>
      </c>
      <c r="H812" s="221">
        <v>0</v>
      </c>
      <c r="I812" s="258">
        <f t="shared" si="7"/>
        <v>1705.9800000000002</v>
      </c>
    </row>
    <row r="813" spans="1:11" hidden="1" x14ac:dyDescent="0.3">
      <c r="A813" s="211" t="s">
        <v>1954</v>
      </c>
      <c r="B813" s="211" t="s">
        <v>293</v>
      </c>
      <c r="C813" s="211" t="s">
        <v>1934</v>
      </c>
      <c r="D813" s="199"/>
      <c r="E813" s="257" t="s">
        <v>1955</v>
      </c>
      <c r="F813" s="220">
        <v>1279.54</v>
      </c>
      <c r="G813" s="220">
        <v>0</v>
      </c>
      <c r="H813" s="221">
        <v>0</v>
      </c>
      <c r="I813" s="258">
        <f t="shared" si="7"/>
        <v>1535.4479999999999</v>
      </c>
    </row>
    <row r="814" spans="1:11" hidden="1" x14ac:dyDescent="0.3">
      <c r="A814" s="211" t="s">
        <v>1956</v>
      </c>
      <c r="B814" s="211" t="s">
        <v>293</v>
      </c>
      <c r="C814" s="211" t="s">
        <v>1934</v>
      </c>
      <c r="D814" s="199"/>
      <c r="E814" s="257" t="s">
        <v>1957</v>
      </c>
      <c r="F814" s="220">
        <v>1288.71</v>
      </c>
      <c r="G814" s="220">
        <v>0</v>
      </c>
      <c r="H814" s="221">
        <v>0</v>
      </c>
      <c r="I814" s="258">
        <f t="shared" si="7"/>
        <v>1546.4520000000002</v>
      </c>
    </row>
    <row r="815" spans="1:11" hidden="1" x14ac:dyDescent="0.3">
      <c r="A815" s="211" t="s">
        <v>1958</v>
      </c>
      <c r="B815" s="211" t="s">
        <v>293</v>
      </c>
      <c r="C815" s="211" t="s">
        <v>1934</v>
      </c>
      <c r="D815" s="199"/>
      <c r="E815" s="257" t="s">
        <v>1959</v>
      </c>
      <c r="F815" s="220">
        <v>1014.88</v>
      </c>
      <c r="G815" s="220">
        <v>0</v>
      </c>
      <c r="H815" s="221">
        <v>0</v>
      </c>
      <c r="I815" s="258">
        <f t="shared" si="7"/>
        <v>1217.856</v>
      </c>
    </row>
    <row r="816" spans="1:11" hidden="1" x14ac:dyDescent="0.3">
      <c r="A816" s="211" t="s">
        <v>1960</v>
      </c>
      <c r="B816" s="211" t="s">
        <v>293</v>
      </c>
      <c r="C816" s="211" t="s">
        <v>1934</v>
      </c>
      <c r="D816" s="199"/>
      <c r="E816" s="257" t="s">
        <v>1961</v>
      </c>
      <c r="F816" s="220">
        <v>1014.88</v>
      </c>
      <c r="G816" s="220">
        <v>0</v>
      </c>
      <c r="H816" s="221">
        <v>0</v>
      </c>
      <c r="I816" s="258">
        <f t="shared" si="7"/>
        <v>1217.856</v>
      </c>
    </row>
    <row r="817" spans="1:9" hidden="1" x14ac:dyDescent="0.3">
      <c r="A817" s="211" t="s">
        <v>1962</v>
      </c>
      <c r="B817" s="211" t="s">
        <v>293</v>
      </c>
      <c r="C817" s="211" t="s">
        <v>1934</v>
      </c>
      <c r="D817" s="199"/>
      <c r="E817" s="257" t="s">
        <v>1963</v>
      </c>
      <c r="F817" s="220">
        <v>1453.98</v>
      </c>
      <c r="G817" s="220">
        <v>0</v>
      </c>
      <c r="H817" s="221">
        <v>0</v>
      </c>
      <c r="I817" s="258">
        <f t="shared" si="7"/>
        <v>1744.7759999999998</v>
      </c>
    </row>
    <row r="818" spans="1:9" hidden="1" x14ac:dyDescent="0.3">
      <c r="A818" s="211" t="s">
        <v>1964</v>
      </c>
      <c r="B818" s="211" t="s">
        <v>293</v>
      </c>
      <c r="C818" s="211" t="s">
        <v>1934</v>
      </c>
      <c r="D818" s="199"/>
      <c r="E818" s="257" t="s">
        <v>1965</v>
      </c>
      <c r="F818" s="220">
        <v>1941.82</v>
      </c>
      <c r="G818" s="220">
        <v>0</v>
      </c>
      <c r="H818" s="221">
        <v>0</v>
      </c>
      <c r="I818" s="258">
        <f t="shared" si="7"/>
        <v>2330.1839999999997</v>
      </c>
    </row>
    <row r="819" spans="1:9" hidden="1" x14ac:dyDescent="0.3">
      <c r="A819" s="211" t="s">
        <v>1966</v>
      </c>
      <c r="B819" s="211" t="s">
        <v>293</v>
      </c>
      <c r="C819" s="211" t="s">
        <v>1934</v>
      </c>
      <c r="D819" s="199"/>
      <c r="E819" s="257" t="s">
        <v>1967</v>
      </c>
      <c r="F819" s="220">
        <v>2099.84</v>
      </c>
      <c r="G819" s="220">
        <v>0</v>
      </c>
      <c r="H819" s="221">
        <v>0</v>
      </c>
      <c r="I819" s="258">
        <f t="shared" si="7"/>
        <v>2519.808</v>
      </c>
    </row>
    <row r="820" spans="1:9" hidden="1" x14ac:dyDescent="0.3">
      <c r="A820" s="211" t="s">
        <v>1968</v>
      </c>
      <c r="B820" s="211" t="s">
        <v>293</v>
      </c>
      <c r="C820" s="211" t="s">
        <v>1934</v>
      </c>
      <c r="D820" s="199"/>
      <c r="E820" s="257" t="s">
        <v>1969</v>
      </c>
      <c r="F820" s="220">
        <v>1852.2</v>
      </c>
      <c r="G820" s="220">
        <v>0</v>
      </c>
      <c r="H820" s="221">
        <v>0</v>
      </c>
      <c r="I820" s="258">
        <f t="shared" si="7"/>
        <v>2222.64</v>
      </c>
    </row>
    <row r="821" spans="1:9" hidden="1" x14ac:dyDescent="0.3">
      <c r="A821" s="211" t="s">
        <v>1970</v>
      </c>
      <c r="B821" s="211" t="s">
        <v>293</v>
      </c>
      <c r="C821" s="211" t="s">
        <v>1934</v>
      </c>
      <c r="D821" s="199"/>
      <c r="E821" s="257" t="s">
        <v>1971</v>
      </c>
      <c r="F821" s="220">
        <v>1727.85</v>
      </c>
      <c r="G821" s="220">
        <v>0</v>
      </c>
      <c r="H821" s="221">
        <v>0</v>
      </c>
      <c r="I821" s="258">
        <f t="shared" si="7"/>
        <v>2073.42</v>
      </c>
    </row>
    <row r="822" spans="1:9" hidden="1" x14ac:dyDescent="0.3">
      <c r="A822" s="211" t="s">
        <v>1972</v>
      </c>
      <c r="B822" s="211" t="s">
        <v>293</v>
      </c>
      <c r="C822" s="211" t="s">
        <v>1934</v>
      </c>
      <c r="D822" s="199"/>
      <c r="E822" s="257" t="s">
        <v>1973</v>
      </c>
      <c r="F822" s="220">
        <v>1665.03</v>
      </c>
      <c r="G822" s="220">
        <v>0</v>
      </c>
      <c r="H822" s="221">
        <v>0</v>
      </c>
      <c r="I822" s="258">
        <f t="shared" si="7"/>
        <v>1998.0359999999998</v>
      </c>
    </row>
    <row r="823" spans="1:9" hidden="1" x14ac:dyDescent="0.3">
      <c r="A823" s="211" t="s">
        <v>1974</v>
      </c>
      <c r="B823" s="211" t="s">
        <v>293</v>
      </c>
      <c r="C823" s="211" t="s">
        <v>1934</v>
      </c>
      <c r="D823" s="199"/>
      <c r="E823" s="257" t="s">
        <v>1975</v>
      </c>
      <c r="F823" s="220">
        <v>1407.63</v>
      </c>
      <c r="G823" s="220">
        <v>0</v>
      </c>
      <c r="H823" s="221">
        <v>0</v>
      </c>
      <c r="I823" s="258">
        <f t="shared" si="7"/>
        <v>1689.1559999999999</v>
      </c>
    </row>
    <row r="824" spans="1:9" hidden="1" x14ac:dyDescent="0.3">
      <c r="A824" s="211" t="s">
        <v>1976</v>
      </c>
      <c r="B824" s="211" t="s">
        <v>293</v>
      </c>
      <c r="C824" s="211" t="s">
        <v>1934</v>
      </c>
      <c r="D824" s="199"/>
      <c r="E824" s="257" t="s">
        <v>1977</v>
      </c>
      <c r="F824" s="220">
        <v>1556.44</v>
      </c>
      <c r="G824" s="220">
        <v>0</v>
      </c>
      <c r="H824" s="221">
        <v>0</v>
      </c>
      <c r="I824" s="258">
        <f t="shared" si="7"/>
        <v>1867.7280000000001</v>
      </c>
    </row>
    <row r="825" spans="1:9" hidden="1" x14ac:dyDescent="0.3">
      <c r="A825" s="211" t="s">
        <v>1978</v>
      </c>
      <c r="B825" s="211" t="s">
        <v>293</v>
      </c>
      <c r="C825" s="211" t="s">
        <v>1934</v>
      </c>
      <c r="D825" s="199"/>
      <c r="E825" s="257" t="s">
        <v>1979</v>
      </c>
      <c r="F825" s="220">
        <v>1049.95</v>
      </c>
      <c r="G825" s="220">
        <v>0</v>
      </c>
      <c r="H825" s="221">
        <v>0</v>
      </c>
      <c r="I825" s="258">
        <f t="shared" si="7"/>
        <v>1259.94</v>
      </c>
    </row>
    <row r="826" spans="1:9" hidden="1" x14ac:dyDescent="0.3">
      <c r="A826" s="211" t="s">
        <v>1980</v>
      </c>
      <c r="B826" s="211" t="s">
        <v>293</v>
      </c>
      <c r="C826" s="211" t="s">
        <v>1934</v>
      </c>
      <c r="D826" s="199"/>
      <c r="E826" s="257" t="s">
        <v>1981</v>
      </c>
      <c r="F826" s="220">
        <v>1049.94</v>
      </c>
      <c r="G826" s="220">
        <v>0</v>
      </c>
      <c r="H826" s="221">
        <v>0</v>
      </c>
      <c r="I826" s="258">
        <f t="shared" si="7"/>
        <v>1259.9279999999999</v>
      </c>
    </row>
    <row r="827" spans="1:9" hidden="1" x14ac:dyDescent="0.3">
      <c r="A827" s="211" t="s">
        <v>1982</v>
      </c>
      <c r="B827" s="211" t="s">
        <v>293</v>
      </c>
      <c r="C827" s="211" t="s">
        <v>1934</v>
      </c>
      <c r="D827" s="199"/>
      <c r="E827" s="257" t="s">
        <v>1983</v>
      </c>
      <c r="F827" s="220">
        <v>1714.96</v>
      </c>
      <c r="G827" s="220">
        <v>0</v>
      </c>
      <c r="H827" s="221">
        <v>0</v>
      </c>
      <c r="I827" s="258">
        <f t="shared" si="7"/>
        <v>2057.9520000000002</v>
      </c>
    </row>
    <row r="828" spans="1:9" hidden="1" x14ac:dyDescent="0.3">
      <c r="A828" s="211" t="s">
        <v>1984</v>
      </c>
      <c r="B828" s="211" t="s">
        <v>293</v>
      </c>
      <c r="C828" s="211" t="s">
        <v>1934</v>
      </c>
      <c r="D828" s="199"/>
      <c r="E828" s="257" t="s">
        <v>1985</v>
      </c>
      <c r="F828" s="220">
        <v>1211.25</v>
      </c>
      <c r="G828" s="220">
        <v>0</v>
      </c>
      <c r="H828" s="221">
        <v>0</v>
      </c>
      <c r="I828" s="258">
        <f t="shared" si="7"/>
        <v>1453.5</v>
      </c>
    </row>
    <row r="829" spans="1:9" hidden="1" x14ac:dyDescent="0.3">
      <c r="A829" s="211" t="s">
        <v>1986</v>
      </c>
      <c r="B829" s="211" t="s">
        <v>293</v>
      </c>
      <c r="C829" s="211" t="s">
        <v>1934</v>
      </c>
      <c r="D829" s="199"/>
      <c r="E829" s="257" t="s">
        <v>1987</v>
      </c>
      <c r="F829" s="220">
        <v>1289.32</v>
      </c>
      <c r="G829" s="220">
        <v>0</v>
      </c>
      <c r="H829" s="221">
        <v>0</v>
      </c>
      <c r="I829" s="258">
        <f t="shared" si="7"/>
        <v>1547.1839999999997</v>
      </c>
    </row>
    <row r="830" spans="1:9" hidden="1" x14ac:dyDescent="0.3">
      <c r="A830" s="211" t="s">
        <v>1988</v>
      </c>
      <c r="B830" s="211" t="s">
        <v>293</v>
      </c>
      <c r="C830" s="211" t="s">
        <v>1934</v>
      </c>
      <c r="D830" s="199"/>
      <c r="E830" s="257" t="s">
        <v>1989</v>
      </c>
      <c r="F830" s="220">
        <v>1357.61</v>
      </c>
      <c r="G830" s="220">
        <v>0</v>
      </c>
      <c r="H830" s="221">
        <v>0</v>
      </c>
      <c r="I830" s="258">
        <f t="shared" si="7"/>
        <v>1629.1320000000001</v>
      </c>
    </row>
    <row r="831" spans="1:9" hidden="1" x14ac:dyDescent="0.3">
      <c r="A831" s="211" t="s">
        <v>1990</v>
      </c>
      <c r="B831" s="211" t="s">
        <v>293</v>
      </c>
      <c r="C831" s="211" t="s">
        <v>1934</v>
      </c>
      <c r="D831" s="199"/>
      <c r="E831" s="257" t="s">
        <v>1991</v>
      </c>
      <c r="F831" s="220">
        <v>1202.71</v>
      </c>
      <c r="G831" s="220">
        <v>0</v>
      </c>
      <c r="H831" s="221">
        <v>0</v>
      </c>
      <c r="I831" s="258">
        <f t="shared" si="7"/>
        <v>1443.252</v>
      </c>
    </row>
    <row r="832" spans="1:9" hidden="1" x14ac:dyDescent="0.3">
      <c r="A832" s="211" t="s">
        <v>1992</v>
      </c>
      <c r="B832" s="211" t="s">
        <v>293</v>
      </c>
      <c r="C832" s="211" t="s">
        <v>1934</v>
      </c>
      <c r="D832" s="199"/>
      <c r="E832" s="257" t="s">
        <v>1993</v>
      </c>
      <c r="F832" s="220">
        <v>847.73</v>
      </c>
      <c r="G832" s="220">
        <v>0</v>
      </c>
      <c r="H832" s="221">
        <v>0</v>
      </c>
      <c r="I832" s="258">
        <f t="shared" si="7"/>
        <v>1017.276</v>
      </c>
    </row>
    <row r="833" spans="1:11" hidden="1" x14ac:dyDescent="0.3">
      <c r="A833" s="211" t="s">
        <v>1994</v>
      </c>
      <c r="B833" s="211" t="s">
        <v>293</v>
      </c>
      <c r="C833" s="211" t="s">
        <v>1934</v>
      </c>
      <c r="D833" s="199"/>
      <c r="E833" s="257" t="s">
        <v>1995</v>
      </c>
      <c r="F833" s="220">
        <v>847.73</v>
      </c>
      <c r="G833" s="220">
        <v>0</v>
      </c>
      <c r="H833" s="221">
        <v>0</v>
      </c>
      <c r="I833" s="258">
        <f t="shared" si="7"/>
        <v>1017.276</v>
      </c>
    </row>
    <row r="834" spans="1:11" hidden="1" x14ac:dyDescent="0.3">
      <c r="A834" s="211" t="s">
        <v>1996</v>
      </c>
      <c r="B834" s="211" t="s">
        <v>293</v>
      </c>
      <c r="C834" s="211" t="s">
        <v>1934</v>
      </c>
      <c r="D834" s="199"/>
      <c r="E834" s="257" t="s">
        <v>1997</v>
      </c>
      <c r="F834" s="220">
        <v>1485.69</v>
      </c>
      <c r="G834" s="220">
        <v>0</v>
      </c>
      <c r="H834" s="221">
        <v>0</v>
      </c>
      <c r="I834" s="258">
        <f t="shared" si="7"/>
        <v>1782.8280000000002</v>
      </c>
    </row>
    <row r="835" spans="1:11" hidden="1" x14ac:dyDescent="0.3">
      <c r="A835" s="211" t="s">
        <v>1998</v>
      </c>
      <c r="B835" s="211" t="s">
        <v>293</v>
      </c>
      <c r="C835" s="211" t="s">
        <v>1934</v>
      </c>
      <c r="D835" s="199"/>
      <c r="E835" s="257" t="s">
        <v>1999</v>
      </c>
      <c r="F835" s="220">
        <v>2507.63</v>
      </c>
      <c r="G835" s="220">
        <v>0</v>
      </c>
      <c r="H835" s="221">
        <v>0</v>
      </c>
      <c r="I835" s="258">
        <f t="shared" si="7"/>
        <v>3009.1559999999999</v>
      </c>
    </row>
    <row r="836" spans="1:11" hidden="1" x14ac:dyDescent="0.3">
      <c r="A836" s="211" t="s">
        <v>2000</v>
      </c>
      <c r="B836" s="211" t="s">
        <v>293</v>
      </c>
      <c r="C836" s="211" t="s">
        <v>1934</v>
      </c>
      <c r="D836" s="199"/>
      <c r="E836" s="257" t="s">
        <v>2001</v>
      </c>
      <c r="F836" s="220">
        <v>2788.2</v>
      </c>
      <c r="G836" s="220">
        <v>0</v>
      </c>
      <c r="H836" s="221">
        <v>0</v>
      </c>
      <c r="I836" s="258">
        <f t="shared" si="7"/>
        <v>3345.84</v>
      </c>
    </row>
    <row r="837" spans="1:11" hidden="1" x14ac:dyDescent="0.3">
      <c r="A837" s="211" t="s">
        <v>2002</v>
      </c>
      <c r="B837" s="211" t="s">
        <v>293</v>
      </c>
      <c r="C837" s="211" t="s">
        <v>1934</v>
      </c>
      <c r="D837" s="199"/>
      <c r="E837" s="257" t="s">
        <v>2003</v>
      </c>
      <c r="F837" s="220">
        <v>2119.33</v>
      </c>
      <c r="G837" s="220">
        <v>0</v>
      </c>
      <c r="H837" s="221">
        <v>0</v>
      </c>
      <c r="I837" s="258">
        <f t="shared" si="7"/>
        <v>2543.1959999999999</v>
      </c>
    </row>
    <row r="838" spans="1:11" hidden="1" x14ac:dyDescent="0.3">
      <c r="A838" s="211" t="s">
        <v>2004</v>
      </c>
      <c r="B838" s="211" t="s">
        <v>293</v>
      </c>
      <c r="C838" s="211" t="s">
        <v>1934</v>
      </c>
      <c r="D838" s="199"/>
      <c r="E838" s="257" t="s">
        <v>2005</v>
      </c>
      <c r="F838" s="220">
        <v>2189.5</v>
      </c>
      <c r="G838" s="220">
        <v>0</v>
      </c>
      <c r="H838" s="221">
        <v>0</v>
      </c>
      <c r="I838" s="258">
        <f t="shared" si="7"/>
        <v>2627.3999999999996</v>
      </c>
    </row>
    <row r="839" spans="1:11" hidden="1" x14ac:dyDescent="0.3">
      <c r="A839" s="211" t="s">
        <v>2006</v>
      </c>
      <c r="B839" s="211" t="s">
        <v>293</v>
      </c>
      <c r="C839" s="211" t="s">
        <v>1934</v>
      </c>
      <c r="D839" s="199"/>
      <c r="E839" s="257" t="s">
        <v>2007</v>
      </c>
      <c r="F839" s="220">
        <v>3594.74</v>
      </c>
      <c r="G839" s="220">
        <v>0</v>
      </c>
      <c r="H839" s="221">
        <v>0</v>
      </c>
      <c r="I839" s="258">
        <f t="shared" si="7"/>
        <v>4313.6880000000001</v>
      </c>
    </row>
    <row r="840" spans="1:11" hidden="1" x14ac:dyDescent="0.3">
      <c r="A840" s="211" t="s">
        <v>2008</v>
      </c>
      <c r="B840" s="211" t="s">
        <v>280</v>
      </c>
      <c r="C840" s="211" t="s">
        <v>1934</v>
      </c>
      <c r="D840" s="199"/>
      <c r="E840" s="256" t="s">
        <v>2009</v>
      </c>
      <c r="F840" s="220">
        <v>3689.73</v>
      </c>
      <c r="G840" s="220">
        <v>4166.7</v>
      </c>
      <c r="H840" s="221">
        <v>5000.0399999999991</v>
      </c>
      <c r="I840" s="258">
        <f t="shared" si="7"/>
        <v>4427.6760000000004</v>
      </c>
      <c r="K840" s="259">
        <f>SUM(I804:I840)</f>
        <v>87779.507999999987</v>
      </c>
    </row>
    <row r="841" spans="1:11" hidden="1" x14ac:dyDescent="0.3">
      <c r="A841" s="211" t="s">
        <v>2010</v>
      </c>
      <c r="B841" s="211" t="s">
        <v>293</v>
      </c>
      <c r="C841" s="211" t="s">
        <v>2011</v>
      </c>
      <c r="D841" s="199"/>
      <c r="E841" s="257" t="s">
        <v>2012</v>
      </c>
      <c r="F841" s="220">
        <v>1767.99</v>
      </c>
      <c r="G841" s="220">
        <v>1500</v>
      </c>
      <c r="H841" s="221">
        <v>1800</v>
      </c>
      <c r="I841" s="258">
        <f t="shared" si="7"/>
        <v>2121.5880000000002</v>
      </c>
    </row>
    <row r="842" spans="1:11" hidden="1" x14ac:dyDescent="0.3">
      <c r="A842" s="211" t="s">
        <v>2013</v>
      </c>
      <c r="B842" s="211" t="s">
        <v>293</v>
      </c>
      <c r="C842" s="211" t="s">
        <v>2011</v>
      </c>
      <c r="D842" s="199"/>
      <c r="E842" s="257" t="s">
        <v>2014</v>
      </c>
      <c r="F842" s="220">
        <v>4867.5200000000004</v>
      </c>
      <c r="G842" s="220">
        <v>4833.3</v>
      </c>
      <c r="H842" s="221">
        <v>5799.9600000000009</v>
      </c>
      <c r="I842" s="258">
        <f t="shared" si="7"/>
        <v>5841.0240000000013</v>
      </c>
    </row>
    <row r="843" spans="1:11" hidden="1" x14ac:dyDescent="0.3">
      <c r="A843" s="211" t="s">
        <v>2015</v>
      </c>
      <c r="B843" s="211" t="s">
        <v>293</v>
      </c>
      <c r="C843" s="211" t="s">
        <v>2011</v>
      </c>
      <c r="D843" s="199"/>
      <c r="E843" s="256" t="s">
        <v>2016</v>
      </c>
      <c r="F843" s="220">
        <v>158235.23000000001</v>
      </c>
      <c r="G843" s="220">
        <v>152500</v>
      </c>
      <c r="H843" s="221">
        <v>183000</v>
      </c>
      <c r="I843" s="258">
        <f t="shared" si="7"/>
        <v>189882.27600000001</v>
      </c>
      <c r="K843" s="259">
        <f>+I843+I842+I841</f>
        <v>197844.88800000001</v>
      </c>
    </row>
    <row r="844" spans="1:11" hidden="1" x14ac:dyDescent="0.3">
      <c r="A844" s="211" t="s">
        <v>2017</v>
      </c>
      <c r="B844" s="211" t="s">
        <v>293</v>
      </c>
      <c r="C844" s="211" t="s">
        <v>2018</v>
      </c>
      <c r="D844" s="199"/>
      <c r="E844" s="257" t="s">
        <v>2019</v>
      </c>
      <c r="F844" s="220">
        <v>1524.11</v>
      </c>
      <c r="G844" s="220">
        <v>1833.3</v>
      </c>
      <c r="H844" s="221">
        <v>2199.96</v>
      </c>
      <c r="I844" s="258">
        <f t="shared" si="7"/>
        <v>1828.932</v>
      </c>
    </row>
    <row r="845" spans="1:11" hidden="1" x14ac:dyDescent="0.3">
      <c r="A845" s="211" t="s">
        <v>2020</v>
      </c>
      <c r="B845" s="211" t="s">
        <v>293</v>
      </c>
      <c r="C845" s="211" t="s">
        <v>2018</v>
      </c>
      <c r="D845" s="199"/>
      <c r="E845" s="257" t="s">
        <v>2021</v>
      </c>
      <c r="F845" s="220">
        <v>79.680000000000007</v>
      </c>
      <c r="G845" s="220">
        <v>166.7</v>
      </c>
      <c r="H845" s="221">
        <v>200.03999999999996</v>
      </c>
      <c r="I845" s="258">
        <f t="shared" si="7"/>
        <v>95.616000000000014</v>
      </c>
    </row>
    <row r="846" spans="1:11" hidden="1" x14ac:dyDescent="0.3">
      <c r="A846" s="211" t="s">
        <v>2022</v>
      </c>
      <c r="B846" s="211" t="s">
        <v>293</v>
      </c>
      <c r="C846" s="211" t="s">
        <v>2018</v>
      </c>
      <c r="D846" s="199"/>
      <c r="E846" s="256" t="s">
        <v>2023</v>
      </c>
      <c r="F846" s="220">
        <v>23294.83</v>
      </c>
      <c r="G846" s="220">
        <v>29166.7</v>
      </c>
      <c r="H846" s="221">
        <v>35000.04</v>
      </c>
      <c r="I846" s="258">
        <f t="shared" si="7"/>
        <v>27953.796000000002</v>
      </c>
      <c r="K846" s="259">
        <v>27954</v>
      </c>
    </row>
    <row r="847" spans="1:11" hidden="1" x14ac:dyDescent="0.3">
      <c r="A847" s="211" t="s">
        <v>2024</v>
      </c>
      <c r="B847" s="211" t="s">
        <v>260</v>
      </c>
      <c r="C847" s="211" t="s">
        <v>2025</v>
      </c>
      <c r="D847" s="199"/>
      <c r="E847" s="257" t="s">
        <v>2026</v>
      </c>
      <c r="F847" s="223">
        <v>1485.8</v>
      </c>
      <c r="G847" s="223">
        <v>0</v>
      </c>
      <c r="H847" s="224">
        <v>0</v>
      </c>
      <c r="I847" s="258">
        <f t="shared" si="7"/>
        <v>1782.9599999999998</v>
      </c>
    </row>
    <row r="848" spans="1:11" hidden="1" x14ac:dyDescent="0.3">
      <c r="A848" s="211" t="s">
        <v>2027</v>
      </c>
      <c r="B848" s="211" t="s">
        <v>263</v>
      </c>
      <c r="C848" s="211" t="s">
        <v>2025</v>
      </c>
      <c r="D848" s="199"/>
      <c r="E848" s="257" t="s">
        <v>2028</v>
      </c>
      <c r="F848" s="223">
        <v>39028.720000000001</v>
      </c>
      <c r="G848" s="223">
        <v>0</v>
      </c>
      <c r="H848" s="224">
        <v>0</v>
      </c>
      <c r="I848" s="258">
        <f t="shared" si="7"/>
        <v>46834.464000000007</v>
      </c>
    </row>
    <row r="849" spans="1:9" hidden="1" x14ac:dyDescent="0.3">
      <c r="A849" s="211" t="s">
        <v>2029</v>
      </c>
      <c r="B849" s="211" t="s">
        <v>263</v>
      </c>
      <c r="C849" s="211" t="s">
        <v>2025</v>
      </c>
      <c r="D849" s="199"/>
      <c r="E849" s="257" t="s">
        <v>2030</v>
      </c>
      <c r="F849" s="223">
        <v>1754.92</v>
      </c>
      <c r="G849" s="223">
        <v>0</v>
      </c>
      <c r="H849" s="224">
        <v>0</v>
      </c>
      <c r="I849" s="258">
        <f t="shared" si="7"/>
        <v>2105.9040000000005</v>
      </c>
    </row>
    <row r="850" spans="1:9" hidden="1" x14ac:dyDescent="0.3">
      <c r="A850" s="211" t="s">
        <v>2031</v>
      </c>
      <c r="B850" s="211" t="s">
        <v>263</v>
      </c>
      <c r="C850" s="211" t="s">
        <v>2025</v>
      </c>
      <c r="D850" s="199"/>
      <c r="E850" s="257" t="s">
        <v>2032</v>
      </c>
      <c r="F850" s="223">
        <v>1332.35</v>
      </c>
      <c r="G850" s="223">
        <v>0</v>
      </c>
      <c r="H850" s="224">
        <v>0</v>
      </c>
      <c r="I850" s="258">
        <f t="shared" si="7"/>
        <v>1598.8199999999997</v>
      </c>
    </row>
    <row r="851" spans="1:9" hidden="1" x14ac:dyDescent="0.3">
      <c r="A851" s="211" t="s">
        <v>2033</v>
      </c>
      <c r="B851" s="211" t="s">
        <v>1423</v>
      </c>
      <c r="C851" s="211" t="s">
        <v>2025</v>
      </c>
      <c r="D851" s="199"/>
      <c r="E851" s="257" t="s">
        <v>2034</v>
      </c>
      <c r="F851" s="223">
        <v>26928.400000000001</v>
      </c>
      <c r="G851" s="223">
        <v>25000</v>
      </c>
      <c r="H851" s="224">
        <v>30000</v>
      </c>
      <c r="I851" s="258">
        <f t="shared" si="7"/>
        <v>32314.080000000002</v>
      </c>
    </row>
    <row r="852" spans="1:9" hidden="1" x14ac:dyDescent="0.3">
      <c r="A852" s="211" t="s">
        <v>2035</v>
      </c>
      <c r="B852" s="211" t="s">
        <v>1423</v>
      </c>
      <c r="C852" s="211" t="s">
        <v>2025</v>
      </c>
      <c r="D852" s="199"/>
      <c r="E852" s="257" t="s">
        <v>2036</v>
      </c>
      <c r="F852" s="223">
        <v>4975.7</v>
      </c>
      <c r="G852" s="223">
        <v>5416.7</v>
      </c>
      <c r="H852" s="224">
        <v>6500.0399999999991</v>
      </c>
      <c r="I852" s="258">
        <f t="shared" si="7"/>
        <v>5970.84</v>
      </c>
    </row>
    <row r="853" spans="1:9" hidden="1" x14ac:dyDescent="0.3">
      <c r="A853" s="211" t="s">
        <v>2037</v>
      </c>
      <c r="B853" s="211" t="s">
        <v>1423</v>
      </c>
      <c r="C853" s="211" t="s">
        <v>2025</v>
      </c>
      <c r="D853" s="199"/>
      <c r="E853" s="257" t="s">
        <v>2038</v>
      </c>
      <c r="F853" s="223">
        <v>23746.47</v>
      </c>
      <c r="G853" s="223">
        <v>20000</v>
      </c>
      <c r="H853" s="224">
        <v>24000</v>
      </c>
      <c r="I853" s="258">
        <f t="shared" si="7"/>
        <v>28495.763999999999</v>
      </c>
    </row>
    <row r="854" spans="1:9" hidden="1" x14ac:dyDescent="0.3">
      <c r="A854" s="211" t="s">
        <v>2039</v>
      </c>
      <c r="B854" s="211" t="s">
        <v>1423</v>
      </c>
      <c r="C854" s="211" t="s">
        <v>2025</v>
      </c>
      <c r="D854" s="199"/>
      <c r="E854" s="257" t="s">
        <v>2040</v>
      </c>
      <c r="F854" s="223">
        <v>10820.68</v>
      </c>
      <c r="G854" s="223">
        <v>4166.7</v>
      </c>
      <c r="H854" s="224">
        <v>5000.0399999999991</v>
      </c>
      <c r="I854" s="258">
        <f t="shared" si="7"/>
        <v>12984.815999999999</v>
      </c>
    </row>
    <row r="855" spans="1:9" hidden="1" x14ac:dyDescent="0.3">
      <c r="A855" s="211" t="s">
        <v>2041</v>
      </c>
      <c r="B855" s="211" t="s">
        <v>251</v>
      </c>
      <c r="C855" s="211" t="s">
        <v>1287</v>
      </c>
      <c r="D855" s="199"/>
      <c r="E855" s="257" t="s">
        <v>2042</v>
      </c>
      <c r="F855" s="223">
        <v>12706.39</v>
      </c>
      <c r="G855" s="223">
        <v>12500</v>
      </c>
      <c r="H855" s="224">
        <v>15000</v>
      </c>
      <c r="I855" s="258">
        <f t="shared" si="7"/>
        <v>15247.667999999998</v>
      </c>
    </row>
    <row r="856" spans="1:9" hidden="1" x14ac:dyDescent="0.3">
      <c r="A856" s="211" t="s">
        <v>2043</v>
      </c>
      <c r="B856" s="211" t="s">
        <v>257</v>
      </c>
      <c r="C856" s="211" t="s">
        <v>1287</v>
      </c>
      <c r="D856" s="199"/>
      <c r="E856" s="257" t="s">
        <v>2044</v>
      </c>
      <c r="F856" s="223">
        <v>4074.79</v>
      </c>
      <c r="G856" s="223">
        <v>4166.7</v>
      </c>
      <c r="H856" s="224">
        <v>5000.0399999999991</v>
      </c>
      <c r="I856" s="258">
        <f t="shared" si="7"/>
        <v>4889.7479999999996</v>
      </c>
    </row>
    <row r="857" spans="1:9" hidden="1" x14ac:dyDescent="0.3">
      <c r="A857" s="211" t="s">
        <v>2045</v>
      </c>
      <c r="B857" s="211" t="s">
        <v>293</v>
      </c>
      <c r="C857" s="211" t="s">
        <v>2025</v>
      </c>
      <c r="D857" s="199"/>
      <c r="E857" s="257" t="s">
        <v>2046</v>
      </c>
      <c r="F857" s="223">
        <v>3596.51</v>
      </c>
      <c r="G857" s="223">
        <v>4166.7</v>
      </c>
      <c r="H857" s="224">
        <v>5000.0399999999991</v>
      </c>
      <c r="I857" s="258">
        <f t="shared" si="7"/>
        <v>4315.8119999999999</v>
      </c>
    </row>
    <row r="858" spans="1:9" hidden="1" x14ac:dyDescent="0.3">
      <c r="A858" s="211" t="s">
        <v>2047</v>
      </c>
      <c r="B858" s="211" t="s">
        <v>293</v>
      </c>
      <c r="C858" s="211" t="s">
        <v>2025</v>
      </c>
      <c r="D858" s="199"/>
      <c r="E858" s="257" t="s">
        <v>2048</v>
      </c>
      <c r="F858" s="223">
        <v>2412.29</v>
      </c>
      <c r="G858" s="223">
        <v>2500</v>
      </c>
      <c r="H858" s="224">
        <v>3000</v>
      </c>
      <c r="I858" s="258">
        <f t="shared" si="7"/>
        <v>2894.7479999999996</v>
      </c>
    </row>
    <row r="859" spans="1:9" hidden="1" x14ac:dyDescent="0.3">
      <c r="A859" s="211" t="s">
        <v>2049</v>
      </c>
      <c r="B859" s="211" t="s">
        <v>293</v>
      </c>
      <c r="C859" s="211" t="s">
        <v>2025</v>
      </c>
      <c r="D859" s="199"/>
      <c r="E859" s="257" t="s">
        <v>2050</v>
      </c>
      <c r="F859" s="223">
        <v>2069.65</v>
      </c>
      <c r="G859" s="223">
        <v>2500</v>
      </c>
      <c r="H859" s="224">
        <v>3000</v>
      </c>
      <c r="I859" s="258">
        <f t="shared" si="7"/>
        <v>2483.58</v>
      </c>
    </row>
    <row r="860" spans="1:9" hidden="1" x14ac:dyDescent="0.3">
      <c r="A860" s="211" t="s">
        <v>2051</v>
      </c>
      <c r="B860" s="211" t="s">
        <v>293</v>
      </c>
      <c r="C860" s="211" t="s">
        <v>2025</v>
      </c>
      <c r="D860" s="199"/>
      <c r="E860" s="257" t="s">
        <v>2052</v>
      </c>
      <c r="F860" s="223">
        <v>0</v>
      </c>
      <c r="G860" s="223">
        <v>33333.300000000003</v>
      </c>
      <c r="H860" s="224">
        <v>39999.960000000006</v>
      </c>
      <c r="I860" s="258">
        <f t="shared" si="7"/>
        <v>0</v>
      </c>
    </row>
    <row r="861" spans="1:9" hidden="1" x14ac:dyDescent="0.3">
      <c r="A861" s="211" t="s">
        <v>2053</v>
      </c>
      <c r="B861" s="211" t="s">
        <v>293</v>
      </c>
      <c r="C861" s="211" t="s">
        <v>2025</v>
      </c>
      <c r="D861" s="199"/>
      <c r="E861" s="257" t="s">
        <v>2054</v>
      </c>
      <c r="F861" s="223">
        <v>1196.56</v>
      </c>
      <c r="G861" s="223">
        <v>0</v>
      </c>
      <c r="H861" s="224">
        <v>0</v>
      </c>
      <c r="I861" s="258">
        <f t="shared" si="7"/>
        <v>1435.8719999999998</v>
      </c>
    </row>
    <row r="862" spans="1:9" hidden="1" x14ac:dyDescent="0.3">
      <c r="A862" s="211" t="s">
        <v>2055</v>
      </c>
      <c r="B862" s="211" t="s">
        <v>293</v>
      </c>
      <c r="C862" s="211" t="s">
        <v>2025</v>
      </c>
      <c r="D862" s="199"/>
      <c r="E862" s="257" t="s">
        <v>2056</v>
      </c>
      <c r="F862" s="223">
        <v>812.14</v>
      </c>
      <c r="G862" s="223">
        <v>0</v>
      </c>
      <c r="H862" s="224">
        <v>0</v>
      </c>
      <c r="I862" s="258">
        <f t="shared" si="7"/>
        <v>974.56799999999998</v>
      </c>
    </row>
    <row r="863" spans="1:9" hidden="1" x14ac:dyDescent="0.3">
      <c r="A863" s="211" t="s">
        <v>2057</v>
      </c>
      <c r="B863" s="211" t="s">
        <v>293</v>
      </c>
      <c r="C863" s="211" t="s">
        <v>2025</v>
      </c>
      <c r="D863" s="199"/>
      <c r="E863" s="257" t="s">
        <v>2058</v>
      </c>
      <c r="F863" s="223">
        <v>831.41</v>
      </c>
      <c r="G863" s="223">
        <v>0</v>
      </c>
      <c r="H863" s="224">
        <v>0</v>
      </c>
      <c r="I863" s="258">
        <f t="shared" si="7"/>
        <v>997.69199999999989</v>
      </c>
    </row>
    <row r="864" spans="1:9" hidden="1" x14ac:dyDescent="0.3">
      <c r="A864" s="211" t="s">
        <v>2059</v>
      </c>
      <c r="B864" s="211" t="s">
        <v>293</v>
      </c>
      <c r="C864" s="211" t="s">
        <v>2025</v>
      </c>
      <c r="D864" s="199"/>
      <c r="E864" s="257" t="s">
        <v>2060</v>
      </c>
      <c r="F864" s="223">
        <v>1022.96</v>
      </c>
      <c r="G864" s="223">
        <v>0</v>
      </c>
      <c r="H864" s="224">
        <v>0</v>
      </c>
      <c r="I864" s="258">
        <f t="shared" si="7"/>
        <v>1227.5520000000001</v>
      </c>
    </row>
    <row r="865" spans="1:9" hidden="1" x14ac:dyDescent="0.3">
      <c r="A865" s="211" t="s">
        <v>2061</v>
      </c>
      <c r="B865" s="211" t="s">
        <v>293</v>
      </c>
      <c r="C865" s="211" t="s">
        <v>2025</v>
      </c>
      <c r="D865" s="199"/>
      <c r="E865" s="257" t="s">
        <v>2062</v>
      </c>
      <c r="F865" s="223">
        <v>1038.8</v>
      </c>
      <c r="G865" s="223">
        <v>0</v>
      </c>
      <c r="H865" s="224">
        <v>0</v>
      </c>
      <c r="I865" s="258">
        <f t="shared" si="7"/>
        <v>1246.56</v>
      </c>
    </row>
    <row r="866" spans="1:9" hidden="1" x14ac:dyDescent="0.3">
      <c r="A866" s="211" t="s">
        <v>2063</v>
      </c>
      <c r="B866" s="211" t="s">
        <v>293</v>
      </c>
      <c r="C866" s="211" t="s">
        <v>2025</v>
      </c>
      <c r="D866" s="199"/>
      <c r="E866" s="257" t="s">
        <v>2064</v>
      </c>
      <c r="F866" s="223">
        <v>898.75</v>
      </c>
      <c r="G866" s="223">
        <v>0</v>
      </c>
      <c r="H866" s="224">
        <v>0</v>
      </c>
      <c r="I866" s="258">
        <f t="shared" si="7"/>
        <v>1078.5</v>
      </c>
    </row>
    <row r="867" spans="1:9" hidden="1" x14ac:dyDescent="0.3">
      <c r="A867" s="211" t="s">
        <v>2065</v>
      </c>
      <c r="B867" s="211" t="s">
        <v>293</v>
      </c>
      <c r="C867" s="211" t="s">
        <v>2025</v>
      </c>
      <c r="D867" s="199"/>
      <c r="E867" s="257" t="s">
        <v>2066</v>
      </c>
      <c r="F867" s="223">
        <v>1144.97</v>
      </c>
      <c r="G867" s="223">
        <v>0</v>
      </c>
      <c r="H867" s="224">
        <v>0</v>
      </c>
      <c r="I867" s="258">
        <f t="shared" si="7"/>
        <v>1373.9639999999999</v>
      </c>
    </row>
    <row r="868" spans="1:9" hidden="1" x14ac:dyDescent="0.3">
      <c r="A868" s="211" t="s">
        <v>2067</v>
      </c>
      <c r="B868" s="211" t="s">
        <v>293</v>
      </c>
      <c r="C868" s="211" t="s">
        <v>2025</v>
      </c>
      <c r="D868" s="199"/>
      <c r="E868" s="257" t="s">
        <v>2068</v>
      </c>
      <c r="F868" s="223">
        <v>1402.22</v>
      </c>
      <c r="G868" s="223">
        <v>0</v>
      </c>
      <c r="H868" s="224">
        <v>0</v>
      </c>
      <c r="I868" s="258">
        <f t="shared" si="7"/>
        <v>1682.6640000000002</v>
      </c>
    </row>
    <row r="869" spans="1:9" hidden="1" x14ac:dyDescent="0.3">
      <c r="A869" s="211" t="s">
        <v>2069</v>
      </c>
      <c r="B869" s="211" t="s">
        <v>293</v>
      </c>
      <c r="C869" s="211" t="s">
        <v>2025</v>
      </c>
      <c r="D869" s="199"/>
      <c r="E869" s="257" t="s">
        <v>2070</v>
      </c>
      <c r="F869" s="223">
        <v>1273.94</v>
      </c>
      <c r="G869" s="223">
        <v>0</v>
      </c>
      <c r="H869" s="224">
        <v>0</v>
      </c>
      <c r="I869" s="258">
        <f t="shared" si="7"/>
        <v>1528.7280000000001</v>
      </c>
    </row>
    <row r="870" spans="1:9" hidden="1" x14ac:dyDescent="0.3">
      <c r="A870" s="211" t="s">
        <v>2071</v>
      </c>
      <c r="B870" s="211" t="s">
        <v>293</v>
      </c>
      <c r="C870" s="211" t="s">
        <v>2025</v>
      </c>
      <c r="D870" s="199"/>
      <c r="E870" s="257" t="s">
        <v>2072</v>
      </c>
      <c r="F870" s="223">
        <v>1036.8699999999999</v>
      </c>
      <c r="G870" s="223">
        <v>0</v>
      </c>
      <c r="H870" s="224">
        <v>0</v>
      </c>
      <c r="I870" s="258">
        <f t="shared" si="7"/>
        <v>1244.2439999999997</v>
      </c>
    </row>
    <row r="871" spans="1:9" hidden="1" x14ac:dyDescent="0.3">
      <c r="A871" s="211" t="s">
        <v>2073</v>
      </c>
      <c r="B871" s="211" t="s">
        <v>293</v>
      </c>
      <c r="C871" s="211" t="s">
        <v>2025</v>
      </c>
      <c r="D871" s="199"/>
      <c r="E871" s="257" t="s">
        <v>2074</v>
      </c>
      <c r="F871" s="223">
        <v>1796.62</v>
      </c>
      <c r="G871" s="223">
        <v>0</v>
      </c>
      <c r="H871" s="224">
        <v>0</v>
      </c>
      <c r="I871" s="258">
        <f t="shared" si="7"/>
        <v>2155.9439999999995</v>
      </c>
    </row>
    <row r="872" spans="1:9" hidden="1" x14ac:dyDescent="0.3">
      <c r="A872" s="211" t="s">
        <v>2075</v>
      </c>
      <c r="B872" s="211" t="s">
        <v>293</v>
      </c>
      <c r="C872" s="211" t="s">
        <v>2025</v>
      </c>
      <c r="D872" s="199"/>
      <c r="E872" s="257" t="s">
        <v>2076</v>
      </c>
      <c r="F872" s="223">
        <v>645.05999999999995</v>
      </c>
      <c r="G872" s="223">
        <v>0</v>
      </c>
      <c r="H872" s="224">
        <v>0</v>
      </c>
      <c r="I872" s="258">
        <f t="shared" si="7"/>
        <v>774.072</v>
      </c>
    </row>
    <row r="873" spans="1:9" hidden="1" x14ac:dyDescent="0.3">
      <c r="A873" s="211" t="s">
        <v>2077</v>
      </c>
      <c r="B873" s="211" t="s">
        <v>293</v>
      </c>
      <c r="C873" s="211" t="s">
        <v>2025</v>
      </c>
      <c r="D873" s="199"/>
      <c r="E873" s="257" t="s">
        <v>2078</v>
      </c>
      <c r="F873" s="223">
        <v>1154.98</v>
      </c>
      <c r="G873" s="223">
        <v>0</v>
      </c>
      <c r="H873" s="224">
        <v>0</v>
      </c>
      <c r="I873" s="258">
        <f t="shared" ref="I873:I936" si="8">+F873/10*12</f>
        <v>1385.9760000000001</v>
      </c>
    </row>
    <row r="874" spans="1:9" hidden="1" x14ac:dyDescent="0.3">
      <c r="A874" s="211" t="s">
        <v>2079</v>
      </c>
      <c r="B874" s="211" t="s">
        <v>293</v>
      </c>
      <c r="C874" s="211" t="s">
        <v>2025</v>
      </c>
      <c r="D874" s="199"/>
      <c r="E874" s="257" t="s">
        <v>2080</v>
      </c>
      <c r="F874" s="223">
        <v>970.55</v>
      </c>
      <c r="G874" s="223">
        <v>0</v>
      </c>
      <c r="H874" s="224">
        <v>0</v>
      </c>
      <c r="I874" s="258">
        <f t="shared" si="8"/>
        <v>1164.6599999999999</v>
      </c>
    </row>
    <row r="875" spans="1:9" hidden="1" x14ac:dyDescent="0.3">
      <c r="A875" s="211" t="s">
        <v>2081</v>
      </c>
      <c r="B875" s="211" t="s">
        <v>293</v>
      </c>
      <c r="C875" s="211" t="s">
        <v>2025</v>
      </c>
      <c r="D875" s="199"/>
      <c r="E875" s="257" t="s">
        <v>2082</v>
      </c>
      <c r="F875" s="223">
        <v>963.08</v>
      </c>
      <c r="G875" s="223">
        <v>0</v>
      </c>
      <c r="H875" s="224">
        <v>0</v>
      </c>
      <c r="I875" s="258">
        <f t="shared" si="8"/>
        <v>1155.6960000000001</v>
      </c>
    </row>
    <row r="876" spans="1:9" hidden="1" x14ac:dyDescent="0.3">
      <c r="A876" s="211" t="s">
        <v>2083</v>
      </c>
      <c r="B876" s="211" t="s">
        <v>293</v>
      </c>
      <c r="C876" s="211" t="s">
        <v>2025</v>
      </c>
      <c r="D876" s="199"/>
      <c r="E876" s="257" t="s">
        <v>2084</v>
      </c>
      <c r="F876" s="223">
        <v>1195.6600000000001</v>
      </c>
      <c r="G876" s="223">
        <v>0</v>
      </c>
      <c r="H876" s="224">
        <v>0</v>
      </c>
      <c r="I876" s="258">
        <f t="shared" si="8"/>
        <v>1434.7919999999999</v>
      </c>
    </row>
    <row r="877" spans="1:9" hidden="1" x14ac:dyDescent="0.3">
      <c r="A877" s="211" t="s">
        <v>2085</v>
      </c>
      <c r="B877" s="211" t="s">
        <v>293</v>
      </c>
      <c r="C877" s="211" t="s">
        <v>2025</v>
      </c>
      <c r="D877" s="199"/>
      <c r="E877" s="257" t="s">
        <v>2086</v>
      </c>
      <c r="F877" s="223">
        <v>967.57</v>
      </c>
      <c r="G877" s="223">
        <v>0</v>
      </c>
      <c r="H877" s="224">
        <v>0</v>
      </c>
      <c r="I877" s="258">
        <f t="shared" si="8"/>
        <v>1161.0840000000001</v>
      </c>
    </row>
    <row r="878" spans="1:9" hidden="1" x14ac:dyDescent="0.3">
      <c r="A878" s="211" t="s">
        <v>2087</v>
      </c>
      <c r="B878" s="211" t="s">
        <v>293</v>
      </c>
      <c r="C878" s="211" t="s">
        <v>2025</v>
      </c>
      <c r="D878" s="199"/>
      <c r="E878" s="257" t="s">
        <v>2088</v>
      </c>
      <c r="F878" s="223">
        <v>1070.73</v>
      </c>
      <c r="G878" s="223">
        <v>0</v>
      </c>
      <c r="H878" s="224">
        <v>0</v>
      </c>
      <c r="I878" s="258">
        <f t="shared" si="8"/>
        <v>1284.8760000000002</v>
      </c>
    </row>
    <row r="879" spans="1:9" hidden="1" x14ac:dyDescent="0.3">
      <c r="A879" s="211" t="s">
        <v>2089</v>
      </c>
      <c r="B879" s="211" t="s">
        <v>293</v>
      </c>
      <c r="C879" s="211" t="s">
        <v>2025</v>
      </c>
      <c r="D879" s="199"/>
      <c r="E879" s="257" t="s">
        <v>2090</v>
      </c>
      <c r="F879" s="223">
        <v>819.03</v>
      </c>
      <c r="G879" s="223">
        <v>0</v>
      </c>
      <c r="H879" s="224">
        <v>0</v>
      </c>
      <c r="I879" s="258">
        <f t="shared" si="8"/>
        <v>982.8359999999999</v>
      </c>
    </row>
    <row r="880" spans="1:9" hidden="1" x14ac:dyDescent="0.3">
      <c r="A880" s="211" t="s">
        <v>2091</v>
      </c>
      <c r="B880" s="211" t="s">
        <v>293</v>
      </c>
      <c r="C880" s="211" t="s">
        <v>2025</v>
      </c>
      <c r="D880" s="199"/>
      <c r="E880" s="257" t="s">
        <v>2092</v>
      </c>
      <c r="F880" s="223">
        <v>1117.01</v>
      </c>
      <c r="G880" s="223">
        <v>0</v>
      </c>
      <c r="H880" s="224">
        <v>0</v>
      </c>
      <c r="I880" s="258">
        <f t="shared" si="8"/>
        <v>1340.4119999999998</v>
      </c>
    </row>
    <row r="881" spans="1:9" hidden="1" x14ac:dyDescent="0.3">
      <c r="A881" s="211" t="s">
        <v>2093</v>
      </c>
      <c r="B881" s="211" t="s">
        <v>293</v>
      </c>
      <c r="C881" s="211" t="s">
        <v>2025</v>
      </c>
      <c r="D881" s="199"/>
      <c r="E881" s="257" t="s">
        <v>2094</v>
      </c>
      <c r="F881" s="223">
        <v>-250</v>
      </c>
      <c r="G881" s="223">
        <v>0</v>
      </c>
      <c r="H881" s="224">
        <v>0</v>
      </c>
      <c r="I881" s="258">
        <f t="shared" si="8"/>
        <v>-300</v>
      </c>
    </row>
    <row r="882" spans="1:9" hidden="1" x14ac:dyDescent="0.3">
      <c r="A882" s="211" t="s">
        <v>2095</v>
      </c>
      <c r="B882" s="211" t="s">
        <v>293</v>
      </c>
      <c r="C882" s="211" t="s">
        <v>2025</v>
      </c>
      <c r="D882" s="199"/>
      <c r="E882" s="257" t="s">
        <v>2096</v>
      </c>
      <c r="F882" s="223">
        <v>1287.54</v>
      </c>
      <c r="G882" s="223">
        <v>0</v>
      </c>
      <c r="H882" s="224">
        <v>0</v>
      </c>
      <c r="I882" s="258">
        <f t="shared" si="8"/>
        <v>1545.0479999999998</v>
      </c>
    </row>
    <row r="883" spans="1:9" hidden="1" x14ac:dyDescent="0.3">
      <c r="A883" s="211" t="s">
        <v>2097</v>
      </c>
      <c r="B883" s="211" t="s">
        <v>293</v>
      </c>
      <c r="C883" s="211" t="s">
        <v>2025</v>
      </c>
      <c r="D883" s="199"/>
      <c r="E883" s="257" t="s">
        <v>2098</v>
      </c>
      <c r="F883" s="223">
        <v>1439.72</v>
      </c>
      <c r="G883" s="223">
        <v>0</v>
      </c>
      <c r="H883" s="224">
        <v>0</v>
      </c>
      <c r="I883" s="258">
        <f t="shared" si="8"/>
        <v>1727.6640000000002</v>
      </c>
    </row>
    <row r="884" spans="1:9" hidden="1" x14ac:dyDescent="0.3">
      <c r="A884" s="211" t="s">
        <v>2099</v>
      </c>
      <c r="B884" s="211" t="s">
        <v>293</v>
      </c>
      <c r="C884" s="211" t="s">
        <v>2025</v>
      </c>
      <c r="D884" s="199"/>
      <c r="E884" s="257" t="s">
        <v>2100</v>
      </c>
      <c r="F884" s="223">
        <v>1016.77</v>
      </c>
      <c r="G884" s="223">
        <v>0</v>
      </c>
      <c r="H884" s="224">
        <v>0</v>
      </c>
      <c r="I884" s="258">
        <f t="shared" si="8"/>
        <v>1220.1239999999998</v>
      </c>
    </row>
    <row r="885" spans="1:9" hidden="1" x14ac:dyDescent="0.3">
      <c r="A885" s="211" t="s">
        <v>2101</v>
      </c>
      <c r="B885" s="211" t="s">
        <v>293</v>
      </c>
      <c r="C885" s="211" t="s">
        <v>2025</v>
      </c>
      <c r="D885" s="199"/>
      <c r="E885" s="257" t="s">
        <v>2102</v>
      </c>
      <c r="F885" s="223">
        <v>1460.03</v>
      </c>
      <c r="G885" s="223">
        <v>0</v>
      </c>
      <c r="H885" s="224">
        <v>0</v>
      </c>
      <c r="I885" s="258">
        <f t="shared" si="8"/>
        <v>1752.0359999999998</v>
      </c>
    </row>
    <row r="886" spans="1:9" hidden="1" x14ac:dyDescent="0.3">
      <c r="A886" s="211" t="s">
        <v>2103</v>
      </c>
      <c r="B886" s="211" t="s">
        <v>293</v>
      </c>
      <c r="C886" s="211" t="s">
        <v>2025</v>
      </c>
      <c r="D886" s="199"/>
      <c r="E886" s="257" t="s">
        <v>2104</v>
      </c>
      <c r="F886" s="223">
        <v>1450.06</v>
      </c>
      <c r="G886" s="223">
        <v>0</v>
      </c>
      <c r="H886" s="224">
        <v>0</v>
      </c>
      <c r="I886" s="258">
        <f t="shared" si="8"/>
        <v>1740.0720000000001</v>
      </c>
    </row>
    <row r="887" spans="1:9" hidden="1" x14ac:dyDescent="0.3">
      <c r="A887" s="211" t="s">
        <v>2105</v>
      </c>
      <c r="B887" s="211" t="s">
        <v>293</v>
      </c>
      <c r="C887" s="211" t="s">
        <v>2025</v>
      </c>
      <c r="D887" s="199"/>
      <c r="E887" s="257" t="s">
        <v>2106</v>
      </c>
      <c r="F887" s="223">
        <v>1172.3599999999999</v>
      </c>
      <c r="G887" s="223">
        <v>0</v>
      </c>
      <c r="H887" s="224">
        <v>0</v>
      </c>
      <c r="I887" s="258">
        <f t="shared" si="8"/>
        <v>1406.8319999999999</v>
      </c>
    </row>
    <row r="888" spans="1:9" hidden="1" x14ac:dyDescent="0.3">
      <c r="A888" s="211" t="s">
        <v>2107</v>
      </c>
      <c r="B888" s="211" t="s">
        <v>293</v>
      </c>
      <c r="C888" s="211" t="s">
        <v>2025</v>
      </c>
      <c r="D888" s="199"/>
      <c r="E888" s="257" t="s">
        <v>2108</v>
      </c>
      <c r="F888" s="223">
        <v>5699.63</v>
      </c>
      <c r="G888" s="223">
        <v>0</v>
      </c>
      <c r="H888" s="224">
        <v>0</v>
      </c>
      <c r="I888" s="258">
        <f t="shared" si="8"/>
        <v>6839.5559999999996</v>
      </c>
    </row>
    <row r="889" spans="1:9" hidden="1" x14ac:dyDescent="0.3">
      <c r="A889" s="211" t="s">
        <v>2109</v>
      </c>
      <c r="B889" s="211" t="s">
        <v>280</v>
      </c>
      <c r="C889" s="211" t="s">
        <v>2025</v>
      </c>
      <c r="D889" s="199"/>
      <c r="E889" s="257" t="s">
        <v>2110</v>
      </c>
      <c r="F889" s="223">
        <v>2838.96</v>
      </c>
      <c r="G889" s="223">
        <v>2000</v>
      </c>
      <c r="H889" s="224">
        <v>2400</v>
      </c>
      <c r="I889" s="258">
        <f t="shared" si="8"/>
        <v>3406.7520000000004</v>
      </c>
    </row>
    <row r="890" spans="1:9" hidden="1" x14ac:dyDescent="0.3">
      <c r="A890" s="211" t="s">
        <v>2111</v>
      </c>
      <c r="B890" s="211" t="s">
        <v>280</v>
      </c>
      <c r="C890" s="211" t="s">
        <v>2025</v>
      </c>
      <c r="D890" s="199"/>
      <c r="E890" s="257" t="s">
        <v>2112</v>
      </c>
      <c r="F890" s="223">
        <v>461.05</v>
      </c>
      <c r="G890" s="223">
        <v>0</v>
      </c>
      <c r="H890" s="224">
        <v>0</v>
      </c>
      <c r="I890" s="258">
        <f t="shared" si="8"/>
        <v>553.26</v>
      </c>
    </row>
    <row r="891" spans="1:9" hidden="1" x14ac:dyDescent="0.3">
      <c r="A891" s="211" t="s">
        <v>2113</v>
      </c>
      <c r="B891" s="211" t="s">
        <v>263</v>
      </c>
      <c r="C891" s="211" t="s">
        <v>2114</v>
      </c>
      <c r="D891" s="199"/>
      <c r="E891" s="257" t="s">
        <v>2115</v>
      </c>
      <c r="F891" s="223">
        <v>9659.11</v>
      </c>
      <c r="G891" s="223">
        <v>0</v>
      </c>
      <c r="H891" s="224">
        <v>0</v>
      </c>
      <c r="I891" s="258">
        <f t="shared" si="8"/>
        <v>11590.932000000001</v>
      </c>
    </row>
    <row r="892" spans="1:9" hidden="1" x14ac:dyDescent="0.3">
      <c r="A892" s="211" t="s">
        <v>2116</v>
      </c>
      <c r="B892" s="211" t="s">
        <v>263</v>
      </c>
      <c r="C892" s="211" t="s">
        <v>2114</v>
      </c>
      <c r="D892" s="199"/>
      <c r="E892" s="257" t="s">
        <v>2117</v>
      </c>
      <c r="F892" s="223">
        <v>491.74</v>
      </c>
      <c r="G892" s="223">
        <v>0</v>
      </c>
      <c r="H892" s="224">
        <v>0</v>
      </c>
      <c r="I892" s="258">
        <f t="shared" si="8"/>
        <v>590.08799999999997</v>
      </c>
    </row>
    <row r="893" spans="1:9" hidden="1" x14ac:dyDescent="0.3">
      <c r="A893" s="211" t="s">
        <v>2118</v>
      </c>
      <c r="B893" s="211" t="s">
        <v>1423</v>
      </c>
      <c r="C893" s="211" t="s">
        <v>2114</v>
      </c>
      <c r="D893" s="199"/>
      <c r="E893" s="257" t="s">
        <v>2119</v>
      </c>
      <c r="F893" s="223">
        <v>4964.24</v>
      </c>
      <c r="G893" s="223">
        <v>5000</v>
      </c>
      <c r="H893" s="224">
        <v>6000</v>
      </c>
      <c r="I893" s="258">
        <f t="shared" si="8"/>
        <v>5957.0879999999997</v>
      </c>
    </row>
    <row r="894" spans="1:9" hidden="1" x14ac:dyDescent="0.3">
      <c r="A894" s="211" t="s">
        <v>2120</v>
      </c>
      <c r="B894" s="211" t="s">
        <v>1423</v>
      </c>
      <c r="C894" s="211" t="s">
        <v>2114</v>
      </c>
      <c r="D894" s="199"/>
      <c r="E894" s="257" t="s">
        <v>2121</v>
      </c>
      <c r="F894" s="223">
        <v>1517.45</v>
      </c>
      <c r="G894" s="223">
        <v>1550</v>
      </c>
      <c r="H894" s="224">
        <v>1860</v>
      </c>
      <c r="I894" s="258">
        <f t="shared" si="8"/>
        <v>1820.94</v>
      </c>
    </row>
    <row r="895" spans="1:9" hidden="1" x14ac:dyDescent="0.3">
      <c r="A895" s="211" t="s">
        <v>2122</v>
      </c>
      <c r="B895" s="211" t="s">
        <v>1423</v>
      </c>
      <c r="C895" s="211" t="s">
        <v>2114</v>
      </c>
      <c r="D895" s="199"/>
      <c r="E895" s="257" t="s">
        <v>2123</v>
      </c>
      <c r="F895" s="223">
        <v>3686.09</v>
      </c>
      <c r="G895" s="223">
        <v>4166.7</v>
      </c>
      <c r="H895" s="224">
        <v>5000.0399999999991</v>
      </c>
      <c r="I895" s="258">
        <f t="shared" si="8"/>
        <v>4423.3080000000009</v>
      </c>
    </row>
    <row r="896" spans="1:9" hidden="1" x14ac:dyDescent="0.3">
      <c r="A896" s="211" t="s">
        <v>2124</v>
      </c>
      <c r="B896" s="211" t="s">
        <v>1423</v>
      </c>
      <c r="C896" s="211" t="s">
        <v>2114</v>
      </c>
      <c r="D896" s="199"/>
      <c r="E896" s="257" t="s">
        <v>2125</v>
      </c>
      <c r="F896" s="223">
        <v>1282.46</v>
      </c>
      <c r="G896" s="223">
        <v>1666.7</v>
      </c>
      <c r="H896" s="224">
        <v>2000.0400000000002</v>
      </c>
      <c r="I896" s="258">
        <f t="shared" si="8"/>
        <v>1538.9520000000002</v>
      </c>
    </row>
    <row r="897" spans="1:9" hidden="1" x14ac:dyDescent="0.3">
      <c r="A897" s="211" t="s">
        <v>2126</v>
      </c>
      <c r="B897" s="211" t="s">
        <v>251</v>
      </c>
      <c r="C897" s="211" t="s">
        <v>1287</v>
      </c>
      <c r="D897" s="199"/>
      <c r="E897" s="257" t="s">
        <v>2127</v>
      </c>
      <c r="F897" s="223">
        <v>3305.79</v>
      </c>
      <c r="G897" s="223">
        <v>3000</v>
      </c>
      <c r="H897" s="224">
        <v>3600</v>
      </c>
      <c r="I897" s="258">
        <f t="shared" si="8"/>
        <v>3966.9480000000003</v>
      </c>
    </row>
    <row r="898" spans="1:9" hidden="1" x14ac:dyDescent="0.3">
      <c r="A898" s="211" t="s">
        <v>2128</v>
      </c>
      <c r="B898" s="211" t="s">
        <v>257</v>
      </c>
      <c r="C898" s="211" t="s">
        <v>1287</v>
      </c>
      <c r="D898" s="199"/>
      <c r="E898" s="257" t="s">
        <v>2129</v>
      </c>
      <c r="F898" s="223">
        <v>1288.1500000000001</v>
      </c>
      <c r="G898" s="223">
        <v>1666.7</v>
      </c>
      <c r="H898" s="224">
        <v>2000.0400000000002</v>
      </c>
      <c r="I898" s="258">
        <f t="shared" si="8"/>
        <v>1545.78</v>
      </c>
    </row>
    <row r="899" spans="1:9" hidden="1" x14ac:dyDescent="0.3">
      <c r="A899" s="211" t="s">
        <v>2130</v>
      </c>
      <c r="B899" s="211" t="s">
        <v>293</v>
      </c>
      <c r="C899" s="211" t="s">
        <v>2114</v>
      </c>
      <c r="D899" s="199"/>
      <c r="E899" s="257" t="s">
        <v>2131</v>
      </c>
      <c r="F899" s="223">
        <v>1368.41</v>
      </c>
      <c r="G899" s="223">
        <v>1833.3</v>
      </c>
      <c r="H899" s="224">
        <v>2199.96</v>
      </c>
      <c r="I899" s="258">
        <f t="shared" si="8"/>
        <v>1642.0920000000001</v>
      </c>
    </row>
    <row r="900" spans="1:9" hidden="1" x14ac:dyDescent="0.3">
      <c r="A900" s="211" t="s">
        <v>2132</v>
      </c>
      <c r="B900" s="211" t="s">
        <v>293</v>
      </c>
      <c r="C900" s="211" t="s">
        <v>2114</v>
      </c>
      <c r="D900" s="199"/>
      <c r="E900" s="257" t="s">
        <v>2133</v>
      </c>
      <c r="F900" s="223">
        <v>1370.08</v>
      </c>
      <c r="G900" s="223">
        <v>1916.7</v>
      </c>
      <c r="H900" s="224">
        <v>2300.04</v>
      </c>
      <c r="I900" s="258">
        <f t="shared" si="8"/>
        <v>1644.0959999999998</v>
      </c>
    </row>
    <row r="901" spans="1:9" hidden="1" x14ac:dyDescent="0.3">
      <c r="A901" s="211" t="s">
        <v>2134</v>
      </c>
      <c r="B901" s="211" t="s">
        <v>293</v>
      </c>
      <c r="C901" s="211" t="s">
        <v>2114</v>
      </c>
      <c r="D901" s="199"/>
      <c r="E901" s="257" t="s">
        <v>2135</v>
      </c>
      <c r="F901" s="223">
        <v>1036.68</v>
      </c>
      <c r="G901" s="223">
        <v>1250</v>
      </c>
      <c r="H901" s="224">
        <v>1500</v>
      </c>
      <c r="I901" s="258">
        <f t="shared" si="8"/>
        <v>1244.0160000000001</v>
      </c>
    </row>
    <row r="902" spans="1:9" hidden="1" x14ac:dyDescent="0.3">
      <c r="A902" s="211" t="s">
        <v>2136</v>
      </c>
      <c r="B902" s="211" t="s">
        <v>293</v>
      </c>
      <c r="C902" s="211" t="s">
        <v>2114</v>
      </c>
      <c r="D902" s="199"/>
      <c r="E902" s="257" t="s">
        <v>2137</v>
      </c>
      <c r="F902" s="223">
        <v>0</v>
      </c>
      <c r="G902" s="223">
        <v>27500</v>
      </c>
      <c r="H902" s="224">
        <v>33000</v>
      </c>
      <c r="I902" s="258">
        <f t="shared" si="8"/>
        <v>0</v>
      </c>
    </row>
    <row r="903" spans="1:9" hidden="1" x14ac:dyDescent="0.3">
      <c r="A903" s="211" t="s">
        <v>2138</v>
      </c>
      <c r="B903" s="211" t="s">
        <v>293</v>
      </c>
      <c r="C903" s="211" t="s">
        <v>2114</v>
      </c>
      <c r="D903" s="199"/>
      <c r="E903" s="257" t="s">
        <v>2139</v>
      </c>
      <c r="F903" s="223">
        <v>834.54</v>
      </c>
      <c r="G903" s="223">
        <v>0</v>
      </c>
      <c r="H903" s="224">
        <v>0</v>
      </c>
      <c r="I903" s="258">
        <f t="shared" si="8"/>
        <v>1001.4479999999999</v>
      </c>
    </row>
    <row r="904" spans="1:9" hidden="1" x14ac:dyDescent="0.3">
      <c r="A904" s="211" t="s">
        <v>2140</v>
      </c>
      <c r="B904" s="211" t="s">
        <v>293</v>
      </c>
      <c r="C904" s="211" t="s">
        <v>2114</v>
      </c>
      <c r="D904" s="199"/>
      <c r="E904" s="257" t="s">
        <v>2141</v>
      </c>
      <c r="F904" s="223">
        <v>675.32</v>
      </c>
      <c r="G904" s="223">
        <v>0</v>
      </c>
      <c r="H904" s="224">
        <v>0</v>
      </c>
      <c r="I904" s="258">
        <f t="shared" si="8"/>
        <v>810.38400000000013</v>
      </c>
    </row>
    <row r="905" spans="1:9" hidden="1" x14ac:dyDescent="0.3">
      <c r="A905" s="211" t="s">
        <v>2142</v>
      </c>
      <c r="B905" s="211" t="s">
        <v>293</v>
      </c>
      <c r="C905" s="211" t="s">
        <v>2114</v>
      </c>
      <c r="D905" s="199"/>
      <c r="E905" s="257" t="s">
        <v>2143</v>
      </c>
      <c r="F905" s="223">
        <v>725.86</v>
      </c>
      <c r="G905" s="223">
        <v>0</v>
      </c>
      <c r="H905" s="224">
        <v>0</v>
      </c>
      <c r="I905" s="258">
        <f t="shared" si="8"/>
        <v>871.03199999999993</v>
      </c>
    </row>
    <row r="906" spans="1:9" hidden="1" x14ac:dyDescent="0.3">
      <c r="A906" s="211" t="s">
        <v>2144</v>
      </c>
      <c r="B906" s="211" t="s">
        <v>293</v>
      </c>
      <c r="C906" s="211" t="s">
        <v>2114</v>
      </c>
      <c r="D906" s="199"/>
      <c r="E906" s="257" t="s">
        <v>2145</v>
      </c>
      <c r="F906" s="223">
        <v>728.62</v>
      </c>
      <c r="G906" s="223">
        <v>0</v>
      </c>
      <c r="H906" s="224">
        <v>0</v>
      </c>
      <c r="I906" s="258">
        <f t="shared" si="8"/>
        <v>874.34399999999994</v>
      </c>
    </row>
    <row r="907" spans="1:9" hidden="1" x14ac:dyDescent="0.3">
      <c r="A907" s="211" t="s">
        <v>2146</v>
      </c>
      <c r="B907" s="211" t="s">
        <v>293</v>
      </c>
      <c r="C907" s="211" t="s">
        <v>2114</v>
      </c>
      <c r="D907" s="199"/>
      <c r="E907" s="257" t="s">
        <v>2147</v>
      </c>
      <c r="F907" s="223">
        <v>734.72</v>
      </c>
      <c r="G907" s="223">
        <v>0</v>
      </c>
      <c r="H907" s="224">
        <v>0</v>
      </c>
      <c r="I907" s="258">
        <f t="shared" si="8"/>
        <v>881.6640000000001</v>
      </c>
    </row>
    <row r="908" spans="1:9" hidden="1" x14ac:dyDescent="0.3">
      <c r="A908" s="211" t="s">
        <v>2148</v>
      </c>
      <c r="B908" s="211" t="s">
        <v>293</v>
      </c>
      <c r="C908" s="211" t="s">
        <v>2114</v>
      </c>
      <c r="D908" s="199"/>
      <c r="E908" s="257" t="s">
        <v>2149</v>
      </c>
      <c r="F908" s="223">
        <v>856.41</v>
      </c>
      <c r="G908" s="223">
        <v>0</v>
      </c>
      <c r="H908" s="224">
        <v>0</v>
      </c>
      <c r="I908" s="258">
        <f t="shared" si="8"/>
        <v>1027.692</v>
      </c>
    </row>
    <row r="909" spans="1:9" hidden="1" x14ac:dyDescent="0.3">
      <c r="A909" s="211" t="s">
        <v>2150</v>
      </c>
      <c r="B909" s="211" t="s">
        <v>293</v>
      </c>
      <c r="C909" s="211" t="s">
        <v>2114</v>
      </c>
      <c r="D909" s="199"/>
      <c r="E909" s="257" t="s">
        <v>2151</v>
      </c>
      <c r="F909" s="223">
        <v>953.94</v>
      </c>
      <c r="G909" s="223">
        <v>0</v>
      </c>
      <c r="H909" s="224">
        <v>0</v>
      </c>
      <c r="I909" s="258">
        <f t="shared" si="8"/>
        <v>1144.7280000000001</v>
      </c>
    </row>
    <row r="910" spans="1:9" hidden="1" x14ac:dyDescent="0.3">
      <c r="A910" s="211" t="s">
        <v>2152</v>
      </c>
      <c r="B910" s="211" t="s">
        <v>293</v>
      </c>
      <c r="C910" s="211" t="s">
        <v>2114</v>
      </c>
      <c r="D910" s="199"/>
      <c r="E910" s="257" t="s">
        <v>2153</v>
      </c>
      <c r="F910" s="223">
        <v>934.26</v>
      </c>
      <c r="G910" s="223">
        <v>0</v>
      </c>
      <c r="H910" s="224">
        <v>0</v>
      </c>
      <c r="I910" s="258">
        <f t="shared" si="8"/>
        <v>1121.1120000000001</v>
      </c>
    </row>
    <row r="911" spans="1:9" hidden="1" x14ac:dyDescent="0.3">
      <c r="A911" s="211" t="s">
        <v>2154</v>
      </c>
      <c r="B911" s="211" t="s">
        <v>293</v>
      </c>
      <c r="C911" s="211" t="s">
        <v>2114</v>
      </c>
      <c r="D911" s="199"/>
      <c r="E911" s="257" t="s">
        <v>2155</v>
      </c>
      <c r="F911" s="223">
        <v>760.66</v>
      </c>
      <c r="G911" s="223">
        <v>0</v>
      </c>
      <c r="H911" s="224">
        <v>0</v>
      </c>
      <c r="I911" s="258">
        <f t="shared" si="8"/>
        <v>912.79200000000003</v>
      </c>
    </row>
    <row r="912" spans="1:9" hidden="1" x14ac:dyDescent="0.3">
      <c r="A912" s="211" t="s">
        <v>2156</v>
      </c>
      <c r="B912" s="211" t="s">
        <v>293</v>
      </c>
      <c r="C912" s="211" t="s">
        <v>2114</v>
      </c>
      <c r="D912" s="199"/>
      <c r="E912" s="257" t="s">
        <v>2157</v>
      </c>
      <c r="F912" s="223">
        <v>828.6</v>
      </c>
      <c r="G912" s="223">
        <v>0</v>
      </c>
      <c r="H912" s="224">
        <v>0</v>
      </c>
      <c r="I912" s="258">
        <f t="shared" si="8"/>
        <v>994.31999999999994</v>
      </c>
    </row>
    <row r="913" spans="1:9" hidden="1" x14ac:dyDescent="0.3">
      <c r="A913" s="211" t="s">
        <v>2158</v>
      </c>
      <c r="B913" s="211" t="s">
        <v>293</v>
      </c>
      <c r="C913" s="211" t="s">
        <v>2114</v>
      </c>
      <c r="D913" s="199"/>
      <c r="E913" s="257" t="s">
        <v>2159</v>
      </c>
      <c r="F913" s="223">
        <v>863.95</v>
      </c>
      <c r="G913" s="223">
        <v>0</v>
      </c>
      <c r="H913" s="224">
        <v>0</v>
      </c>
      <c r="I913" s="258">
        <f t="shared" si="8"/>
        <v>1036.7400000000002</v>
      </c>
    </row>
    <row r="914" spans="1:9" hidden="1" x14ac:dyDescent="0.3">
      <c r="A914" s="211" t="s">
        <v>2160</v>
      </c>
      <c r="B914" s="211" t="s">
        <v>293</v>
      </c>
      <c r="C914" s="211" t="s">
        <v>2114</v>
      </c>
      <c r="D914" s="199"/>
      <c r="E914" s="257" t="s">
        <v>2161</v>
      </c>
      <c r="F914" s="223">
        <v>763.69</v>
      </c>
      <c r="G914" s="223">
        <v>0</v>
      </c>
      <c r="H914" s="224">
        <v>0</v>
      </c>
      <c r="I914" s="258">
        <f t="shared" si="8"/>
        <v>916.428</v>
      </c>
    </row>
    <row r="915" spans="1:9" hidden="1" x14ac:dyDescent="0.3">
      <c r="A915" s="211" t="s">
        <v>2162</v>
      </c>
      <c r="B915" s="211" t="s">
        <v>293</v>
      </c>
      <c r="C915" s="211" t="s">
        <v>2114</v>
      </c>
      <c r="D915" s="199"/>
      <c r="E915" s="257" t="s">
        <v>2163</v>
      </c>
      <c r="F915" s="223">
        <v>766.42</v>
      </c>
      <c r="G915" s="223">
        <v>0</v>
      </c>
      <c r="H915" s="224">
        <v>0</v>
      </c>
      <c r="I915" s="258">
        <f t="shared" si="8"/>
        <v>919.70399999999995</v>
      </c>
    </row>
    <row r="916" spans="1:9" hidden="1" x14ac:dyDescent="0.3">
      <c r="A916" s="211" t="s">
        <v>2164</v>
      </c>
      <c r="B916" s="211" t="s">
        <v>293</v>
      </c>
      <c r="C916" s="211" t="s">
        <v>2114</v>
      </c>
      <c r="D916" s="199"/>
      <c r="E916" s="257" t="s">
        <v>2165</v>
      </c>
      <c r="F916" s="223">
        <v>650.53</v>
      </c>
      <c r="G916" s="223">
        <v>0</v>
      </c>
      <c r="H916" s="224">
        <v>0</v>
      </c>
      <c r="I916" s="258">
        <f t="shared" si="8"/>
        <v>780.63599999999997</v>
      </c>
    </row>
    <row r="917" spans="1:9" hidden="1" x14ac:dyDescent="0.3">
      <c r="A917" s="211" t="s">
        <v>2166</v>
      </c>
      <c r="B917" s="211" t="s">
        <v>293</v>
      </c>
      <c r="C917" s="211" t="s">
        <v>2114</v>
      </c>
      <c r="D917" s="199"/>
      <c r="E917" s="257" t="s">
        <v>2167</v>
      </c>
      <c r="F917" s="223">
        <v>694.54</v>
      </c>
      <c r="G917" s="223">
        <v>0</v>
      </c>
      <c r="H917" s="224">
        <v>0</v>
      </c>
      <c r="I917" s="258">
        <f t="shared" si="8"/>
        <v>833.44799999999987</v>
      </c>
    </row>
    <row r="918" spans="1:9" hidden="1" x14ac:dyDescent="0.3">
      <c r="A918" s="211" t="s">
        <v>2168</v>
      </c>
      <c r="B918" s="211" t="s">
        <v>293</v>
      </c>
      <c r="C918" s="211" t="s">
        <v>2114</v>
      </c>
      <c r="D918" s="199"/>
      <c r="E918" s="257" t="s">
        <v>2169</v>
      </c>
      <c r="F918" s="223">
        <v>655.21</v>
      </c>
      <c r="G918" s="223">
        <v>0</v>
      </c>
      <c r="H918" s="224">
        <v>0</v>
      </c>
      <c r="I918" s="258">
        <f t="shared" si="8"/>
        <v>786.25199999999995</v>
      </c>
    </row>
    <row r="919" spans="1:9" hidden="1" x14ac:dyDescent="0.3">
      <c r="A919" s="211" t="s">
        <v>2170</v>
      </c>
      <c r="B919" s="211" t="s">
        <v>293</v>
      </c>
      <c r="C919" s="211" t="s">
        <v>2114</v>
      </c>
      <c r="D919" s="199"/>
      <c r="E919" s="257" t="s">
        <v>2171</v>
      </c>
      <c r="F919" s="223">
        <v>1017.73</v>
      </c>
      <c r="G919" s="223">
        <v>0</v>
      </c>
      <c r="H919" s="224">
        <v>0</v>
      </c>
      <c r="I919" s="258">
        <f t="shared" si="8"/>
        <v>1221.2759999999998</v>
      </c>
    </row>
    <row r="920" spans="1:9" hidden="1" x14ac:dyDescent="0.3">
      <c r="A920" s="211" t="s">
        <v>2172</v>
      </c>
      <c r="B920" s="211" t="s">
        <v>293</v>
      </c>
      <c r="C920" s="211" t="s">
        <v>2114</v>
      </c>
      <c r="D920" s="199"/>
      <c r="E920" s="257" t="s">
        <v>2173</v>
      </c>
      <c r="F920" s="223">
        <v>909.53</v>
      </c>
      <c r="G920" s="223">
        <v>0</v>
      </c>
      <c r="H920" s="224">
        <v>0</v>
      </c>
      <c r="I920" s="258">
        <f t="shared" si="8"/>
        <v>1091.4360000000001</v>
      </c>
    </row>
    <row r="921" spans="1:9" hidden="1" x14ac:dyDescent="0.3">
      <c r="A921" s="211" t="s">
        <v>2174</v>
      </c>
      <c r="B921" s="211" t="s">
        <v>293</v>
      </c>
      <c r="C921" s="211" t="s">
        <v>2114</v>
      </c>
      <c r="D921" s="199"/>
      <c r="E921" s="257" t="s">
        <v>2175</v>
      </c>
      <c r="F921" s="223">
        <v>809.73</v>
      </c>
      <c r="G921" s="223">
        <v>0</v>
      </c>
      <c r="H921" s="224">
        <v>0</v>
      </c>
      <c r="I921" s="258">
        <f t="shared" si="8"/>
        <v>971.67599999999993</v>
      </c>
    </row>
    <row r="922" spans="1:9" hidden="1" x14ac:dyDescent="0.3">
      <c r="A922" s="211" t="s">
        <v>2176</v>
      </c>
      <c r="B922" s="211" t="s">
        <v>293</v>
      </c>
      <c r="C922" s="211" t="s">
        <v>2114</v>
      </c>
      <c r="D922" s="199"/>
      <c r="E922" s="257" t="s">
        <v>2177</v>
      </c>
      <c r="F922" s="223">
        <v>710.15</v>
      </c>
      <c r="G922" s="223">
        <v>0</v>
      </c>
      <c r="H922" s="224">
        <v>0</v>
      </c>
      <c r="I922" s="258">
        <f t="shared" si="8"/>
        <v>852.18000000000006</v>
      </c>
    </row>
    <row r="923" spans="1:9" hidden="1" x14ac:dyDescent="0.3">
      <c r="A923" s="211" t="s">
        <v>2178</v>
      </c>
      <c r="B923" s="211" t="s">
        <v>293</v>
      </c>
      <c r="C923" s="211" t="s">
        <v>2114</v>
      </c>
      <c r="D923" s="199"/>
      <c r="E923" s="257" t="s">
        <v>2179</v>
      </c>
      <c r="F923" s="223">
        <v>502.88</v>
      </c>
      <c r="G923" s="223">
        <v>0</v>
      </c>
      <c r="H923" s="224">
        <v>0</v>
      </c>
      <c r="I923" s="258">
        <f t="shared" si="8"/>
        <v>603.4559999999999</v>
      </c>
    </row>
    <row r="924" spans="1:9" hidden="1" x14ac:dyDescent="0.3">
      <c r="A924" s="211" t="s">
        <v>2180</v>
      </c>
      <c r="B924" s="211" t="s">
        <v>293</v>
      </c>
      <c r="C924" s="211" t="s">
        <v>2114</v>
      </c>
      <c r="D924" s="199"/>
      <c r="E924" s="257" t="s">
        <v>2181</v>
      </c>
      <c r="F924" s="223">
        <v>696.34</v>
      </c>
      <c r="G924" s="223">
        <v>0</v>
      </c>
      <c r="H924" s="224">
        <v>0</v>
      </c>
      <c r="I924" s="258">
        <f t="shared" si="8"/>
        <v>835.60799999999995</v>
      </c>
    </row>
    <row r="925" spans="1:9" hidden="1" x14ac:dyDescent="0.3">
      <c r="A925" s="211" t="s">
        <v>2182</v>
      </c>
      <c r="B925" s="211" t="s">
        <v>293</v>
      </c>
      <c r="C925" s="211" t="s">
        <v>2114</v>
      </c>
      <c r="D925" s="199"/>
      <c r="E925" s="257" t="s">
        <v>2183</v>
      </c>
      <c r="F925" s="223">
        <v>680.9</v>
      </c>
      <c r="G925" s="223">
        <v>0</v>
      </c>
      <c r="H925" s="224">
        <v>0</v>
      </c>
      <c r="I925" s="258">
        <f t="shared" si="8"/>
        <v>817.08</v>
      </c>
    </row>
    <row r="926" spans="1:9" hidden="1" x14ac:dyDescent="0.3">
      <c r="A926" s="211" t="s">
        <v>2184</v>
      </c>
      <c r="B926" s="211" t="s">
        <v>293</v>
      </c>
      <c r="C926" s="211" t="s">
        <v>2114</v>
      </c>
      <c r="D926" s="199"/>
      <c r="E926" s="257" t="s">
        <v>2185</v>
      </c>
      <c r="F926" s="223">
        <v>714.11</v>
      </c>
      <c r="G926" s="223">
        <v>0</v>
      </c>
      <c r="H926" s="224">
        <v>0</v>
      </c>
      <c r="I926" s="258">
        <f t="shared" si="8"/>
        <v>856.93200000000002</v>
      </c>
    </row>
    <row r="927" spans="1:9" hidden="1" x14ac:dyDescent="0.3">
      <c r="A927" s="211" t="s">
        <v>2186</v>
      </c>
      <c r="B927" s="211" t="s">
        <v>293</v>
      </c>
      <c r="C927" s="211" t="s">
        <v>2114</v>
      </c>
      <c r="D927" s="199"/>
      <c r="E927" s="257" t="s">
        <v>2187</v>
      </c>
      <c r="F927" s="223">
        <v>824.02</v>
      </c>
      <c r="G927" s="223">
        <v>0</v>
      </c>
      <c r="H927" s="224">
        <v>0</v>
      </c>
      <c r="I927" s="258">
        <f t="shared" si="8"/>
        <v>988.82400000000007</v>
      </c>
    </row>
    <row r="928" spans="1:9" hidden="1" x14ac:dyDescent="0.3">
      <c r="A928" s="211" t="s">
        <v>2188</v>
      </c>
      <c r="B928" s="211" t="s">
        <v>293</v>
      </c>
      <c r="C928" s="211" t="s">
        <v>2114</v>
      </c>
      <c r="D928" s="199"/>
      <c r="E928" s="257" t="s">
        <v>2189</v>
      </c>
      <c r="F928" s="223">
        <v>835.66</v>
      </c>
      <c r="G928" s="223">
        <v>0</v>
      </c>
      <c r="H928" s="224">
        <v>0</v>
      </c>
      <c r="I928" s="258">
        <f t="shared" si="8"/>
        <v>1002.792</v>
      </c>
    </row>
    <row r="929" spans="1:11" hidden="1" x14ac:dyDescent="0.3">
      <c r="A929" s="211" t="s">
        <v>2190</v>
      </c>
      <c r="B929" s="211" t="s">
        <v>293</v>
      </c>
      <c r="C929" s="211" t="s">
        <v>2114</v>
      </c>
      <c r="D929" s="199"/>
      <c r="E929" s="257" t="s">
        <v>2191</v>
      </c>
      <c r="F929" s="223">
        <v>790.16</v>
      </c>
      <c r="G929" s="223">
        <v>0</v>
      </c>
      <c r="H929" s="224">
        <v>0</v>
      </c>
      <c r="I929" s="258">
        <f t="shared" si="8"/>
        <v>948.19199999999989</v>
      </c>
    </row>
    <row r="930" spans="1:11" hidden="1" x14ac:dyDescent="0.3">
      <c r="A930" s="211" t="s">
        <v>2192</v>
      </c>
      <c r="B930" s="211" t="s">
        <v>293</v>
      </c>
      <c r="C930" s="211" t="s">
        <v>2114</v>
      </c>
      <c r="D930" s="199"/>
      <c r="E930" s="257" t="s">
        <v>2193</v>
      </c>
      <c r="F930" s="223">
        <v>1796.39</v>
      </c>
      <c r="G930" s="223">
        <v>0</v>
      </c>
      <c r="H930" s="224">
        <v>0</v>
      </c>
      <c r="I930" s="258">
        <f t="shared" si="8"/>
        <v>2155.6680000000001</v>
      </c>
    </row>
    <row r="931" spans="1:11" hidden="1" x14ac:dyDescent="0.3">
      <c r="A931" s="211" t="s">
        <v>2194</v>
      </c>
      <c r="B931" s="211" t="s">
        <v>280</v>
      </c>
      <c r="C931" s="211" t="s">
        <v>2114</v>
      </c>
      <c r="D931" s="199"/>
      <c r="E931" s="257" t="s">
        <v>2195</v>
      </c>
      <c r="F931" s="223">
        <v>635.02</v>
      </c>
      <c r="G931" s="223">
        <v>1000</v>
      </c>
      <c r="H931" s="224">
        <v>1200</v>
      </c>
      <c r="I931" s="258">
        <f t="shared" si="8"/>
        <v>762.02399999999989</v>
      </c>
    </row>
    <row r="932" spans="1:11" hidden="1" x14ac:dyDescent="0.3">
      <c r="A932" s="211" t="s">
        <v>2196</v>
      </c>
      <c r="B932" s="211" t="s">
        <v>280</v>
      </c>
      <c r="C932" s="211" t="s">
        <v>2114</v>
      </c>
      <c r="D932" s="199"/>
      <c r="E932" s="256" t="s">
        <v>2197</v>
      </c>
      <c r="F932" s="223">
        <v>-569.5</v>
      </c>
      <c r="G932" s="223">
        <v>0</v>
      </c>
      <c r="H932" s="224">
        <v>0</v>
      </c>
      <c r="I932" s="258">
        <f t="shared" si="8"/>
        <v>-683.40000000000009</v>
      </c>
      <c r="K932" s="259"/>
    </row>
    <row r="933" spans="1:11" hidden="1" x14ac:dyDescent="0.3">
      <c r="A933" s="211" t="s">
        <v>2198</v>
      </c>
      <c r="B933" s="211" t="s">
        <v>1423</v>
      </c>
      <c r="C933" s="211" t="s">
        <v>2199</v>
      </c>
      <c r="D933" s="199"/>
      <c r="E933" s="257" t="s">
        <v>2200</v>
      </c>
      <c r="F933" s="223">
        <v>645.01</v>
      </c>
      <c r="G933" s="223">
        <v>1250</v>
      </c>
      <c r="H933" s="224">
        <v>1500</v>
      </c>
      <c r="I933" s="258">
        <f t="shared" si="8"/>
        <v>774.01200000000006</v>
      </c>
    </row>
    <row r="934" spans="1:11" hidden="1" x14ac:dyDescent="0.3">
      <c r="A934" s="211" t="s">
        <v>2201</v>
      </c>
      <c r="B934" s="211" t="s">
        <v>1423</v>
      </c>
      <c r="C934" s="211" t="s">
        <v>2199</v>
      </c>
      <c r="D934" s="199"/>
      <c r="E934" s="257" t="s">
        <v>2202</v>
      </c>
      <c r="F934" s="223">
        <v>6246.57</v>
      </c>
      <c r="G934" s="223">
        <v>4166.7</v>
      </c>
      <c r="H934" s="224">
        <v>5000.0399999999991</v>
      </c>
      <c r="I934" s="258">
        <f t="shared" si="8"/>
        <v>7495.8839999999991</v>
      </c>
    </row>
    <row r="935" spans="1:11" hidden="1" x14ac:dyDescent="0.3">
      <c r="A935" s="211" t="s">
        <v>2203</v>
      </c>
      <c r="B935" s="211" t="s">
        <v>251</v>
      </c>
      <c r="C935" s="211" t="s">
        <v>1287</v>
      </c>
      <c r="D935" s="199"/>
      <c r="E935" s="257" t="s">
        <v>2204</v>
      </c>
      <c r="F935" s="223">
        <v>3147.76</v>
      </c>
      <c r="G935" s="223">
        <v>2916.7</v>
      </c>
      <c r="H935" s="224">
        <v>3500.0399999999995</v>
      </c>
      <c r="I935" s="258">
        <f t="shared" si="8"/>
        <v>3777.3119999999999</v>
      </c>
    </row>
    <row r="936" spans="1:11" hidden="1" x14ac:dyDescent="0.3">
      <c r="A936" s="211" t="s">
        <v>2205</v>
      </c>
      <c r="B936" s="211" t="s">
        <v>257</v>
      </c>
      <c r="C936" s="211" t="s">
        <v>1287</v>
      </c>
      <c r="D936" s="199"/>
      <c r="E936" s="257" t="s">
        <v>2206</v>
      </c>
      <c r="F936" s="223">
        <v>1795.09</v>
      </c>
      <c r="G936" s="223">
        <v>1666.7</v>
      </c>
      <c r="H936" s="224">
        <v>2000.0400000000002</v>
      </c>
      <c r="I936" s="258">
        <f t="shared" si="8"/>
        <v>2154.1079999999997</v>
      </c>
    </row>
    <row r="937" spans="1:11" hidden="1" x14ac:dyDescent="0.3">
      <c r="A937" s="211" t="s">
        <v>2207</v>
      </c>
      <c r="B937" s="211" t="s">
        <v>293</v>
      </c>
      <c r="C937" s="211" t="s">
        <v>2199</v>
      </c>
      <c r="D937" s="199"/>
      <c r="E937" s="257" t="s">
        <v>2208</v>
      </c>
      <c r="F937" s="223">
        <v>2047.54</v>
      </c>
      <c r="G937" s="223">
        <v>1666.7</v>
      </c>
      <c r="H937" s="224">
        <v>2000.0400000000002</v>
      </c>
      <c r="I937" s="258">
        <f t="shared" ref="I937:I1000" si="9">+F937/10*12</f>
        <v>2457.0479999999998</v>
      </c>
    </row>
    <row r="938" spans="1:11" hidden="1" x14ac:dyDescent="0.3">
      <c r="A938" s="211" t="s">
        <v>2209</v>
      </c>
      <c r="B938" s="211" t="s">
        <v>293</v>
      </c>
      <c r="C938" s="211" t="s">
        <v>2199</v>
      </c>
      <c r="D938" s="199"/>
      <c r="E938" s="257" t="s">
        <v>2210</v>
      </c>
      <c r="F938" s="223">
        <v>1591.95</v>
      </c>
      <c r="G938" s="223">
        <v>1666.7</v>
      </c>
      <c r="H938" s="224">
        <v>2000.0400000000002</v>
      </c>
      <c r="I938" s="258">
        <f t="shared" si="9"/>
        <v>1910.34</v>
      </c>
    </row>
    <row r="939" spans="1:11" hidden="1" x14ac:dyDescent="0.3">
      <c r="A939" s="211" t="s">
        <v>2211</v>
      </c>
      <c r="B939" s="211" t="s">
        <v>293</v>
      </c>
      <c r="C939" s="211" t="s">
        <v>2199</v>
      </c>
      <c r="D939" s="199"/>
      <c r="E939" s="257" t="s">
        <v>2212</v>
      </c>
      <c r="F939" s="223">
        <v>2430.98</v>
      </c>
      <c r="G939" s="223">
        <v>2083.3000000000002</v>
      </c>
      <c r="H939" s="224">
        <v>2499.96</v>
      </c>
      <c r="I939" s="258">
        <f t="shared" si="9"/>
        <v>2917.1760000000004</v>
      </c>
    </row>
    <row r="940" spans="1:11" hidden="1" x14ac:dyDescent="0.3">
      <c r="A940" s="211" t="s">
        <v>2213</v>
      </c>
      <c r="B940" s="211" t="s">
        <v>293</v>
      </c>
      <c r="C940" s="211" t="s">
        <v>2199</v>
      </c>
      <c r="D940" s="199"/>
      <c r="E940" s="257" t="s">
        <v>2214</v>
      </c>
      <c r="F940" s="223">
        <v>600.25</v>
      </c>
      <c r="G940" s="223">
        <v>27500</v>
      </c>
      <c r="H940" s="224">
        <v>33000</v>
      </c>
      <c r="I940" s="258">
        <f t="shared" si="9"/>
        <v>720.3</v>
      </c>
    </row>
    <row r="941" spans="1:11" hidden="1" x14ac:dyDescent="0.3">
      <c r="A941" s="211" t="s">
        <v>2215</v>
      </c>
      <c r="B941" s="211" t="s">
        <v>293</v>
      </c>
      <c r="C941" s="211" t="s">
        <v>2199</v>
      </c>
      <c r="D941" s="199"/>
      <c r="E941" s="257" t="s">
        <v>2216</v>
      </c>
      <c r="F941" s="223">
        <v>2078.14</v>
      </c>
      <c r="G941" s="223">
        <v>0</v>
      </c>
      <c r="H941" s="224">
        <v>0</v>
      </c>
      <c r="I941" s="258">
        <f t="shared" si="9"/>
        <v>2493.768</v>
      </c>
    </row>
    <row r="942" spans="1:11" hidden="1" x14ac:dyDescent="0.3">
      <c r="A942" s="211" t="s">
        <v>2217</v>
      </c>
      <c r="B942" s="211" t="s">
        <v>293</v>
      </c>
      <c r="C942" s="211" t="s">
        <v>2199</v>
      </c>
      <c r="D942" s="199"/>
      <c r="E942" s="257" t="s">
        <v>2218</v>
      </c>
      <c r="F942" s="223">
        <v>1041.21</v>
      </c>
      <c r="G942" s="223">
        <v>0</v>
      </c>
      <c r="H942" s="224">
        <v>0</v>
      </c>
      <c r="I942" s="258">
        <f t="shared" si="9"/>
        <v>1249.4520000000002</v>
      </c>
    </row>
    <row r="943" spans="1:11" hidden="1" x14ac:dyDescent="0.3">
      <c r="A943" s="211" t="s">
        <v>2219</v>
      </c>
      <c r="B943" s="211" t="s">
        <v>293</v>
      </c>
      <c r="C943" s="211" t="s">
        <v>2199</v>
      </c>
      <c r="D943" s="199"/>
      <c r="E943" s="257" t="s">
        <v>2220</v>
      </c>
      <c r="F943" s="223">
        <v>1411.81</v>
      </c>
      <c r="G943" s="223">
        <v>0</v>
      </c>
      <c r="H943" s="224">
        <v>0</v>
      </c>
      <c r="I943" s="258">
        <f t="shared" si="9"/>
        <v>1694.1719999999998</v>
      </c>
    </row>
    <row r="944" spans="1:11" hidden="1" x14ac:dyDescent="0.3">
      <c r="A944" s="211" t="s">
        <v>2221</v>
      </c>
      <c r="B944" s="211" t="s">
        <v>293</v>
      </c>
      <c r="C944" s="211" t="s">
        <v>2199</v>
      </c>
      <c r="D944" s="199"/>
      <c r="E944" s="257" t="s">
        <v>2222</v>
      </c>
      <c r="F944" s="223">
        <v>806.92</v>
      </c>
      <c r="G944" s="223">
        <v>0</v>
      </c>
      <c r="H944" s="224">
        <v>0</v>
      </c>
      <c r="I944" s="258">
        <f t="shared" si="9"/>
        <v>968.30399999999986</v>
      </c>
    </row>
    <row r="945" spans="1:9" hidden="1" x14ac:dyDescent="0.3">
      <c r="A945" s="211" t="s">
        <v>2223</v>
      </c>
      <c r="B945" s="211" t="s">
        <v>293</v>
      </c>
      <c r="C945" s="211" t="s">
        <v>2199</v>
      </c>
      <c r="D945" s="199"/>
      <c r="E945" s="257" t="s">
        <v>2224</v>
      </c>
      <c r="F945" s="223">
        <v>832.43</v>
      </c>
      <c r="G945" s="223">
        <v>0</v>
      </c>
      <c r="H945" s="224">
        <v>0</v>
      </c>
      <c r="I945" s="258">
        <f t="shared" si="9"/>
        <v>998.91599999999994</v>
      </c>
    </row>
    <row r="946" spans="1:9" hidden="1" x14ac:dyDescent="0.3">
      <c r="A946" s="211" t="s">
        <v>2225</v>
      </c>
      <c r="B946" s="211" t="s">
        <v>293</v>
      </c>
      <c r="C946" s="211" t="s">
        <v>2199</v>
      </c>
      <c r="D946" s="199"/>
      <c r="E946" s="257" t="s">
        <v>2226</v>
      </c>
      <c r="F946" s="223">
        <v>535.53</v>
      </c>
      <c r="G946" s="223">
        <v>0</v>
      </c>
      <c r="H946" s="224">
        <v>0</v>
      </c>
      <c r="I946" s="258">
        <f t="shared" si="9"/>
        <v>642.63599999999997</v>
      </c>
    </row>
    <row r="947" spans="1:9" hidden="1" x14ac:dyDescent="0.3">
      <c r="A947" s="211" t="s">
        <v>2227</v>
      </c>
      <c r="B947" s="211" t="s">
        <v>293</v>
      </c>
      <c r="C947" s="211" t="s">
        <v>2199</v>
      </c>
      <c r="D947" s="199"/>
      <c r="E947" s="257" t="s">
        <v>2228</v>
      </c>
      <c r="F947" s="223">
        <v>1143.97</v>
      </c>
      <c r="G947" s="223">
        <v>0</v>
      </c>
      <c r="H947" s="224">
        <v>0</v>
      </c>
      <c r="I947" s="258">
        <f t="shared" si="9"/>
        <v>1372.7640000000001</v>
      </c>
    </row>
    <row r="948" spans="1:9" hidden="1" x14ac:dyDescent="0.3">
      <c r="A948" s="211" t="s">
        <v>2229</v>
      </c>
      <c r="B948" s="211" t="s">
        <v>293</v>
      </c>
      <c r="C948" s="211" t="s">
        <v>2199</v>
      </c>
      <c r="D948" s="199"/>
      <c r="E948" s="257" t="s">
        <v>2230</v>
      </c>
      <c r="F948" s="223">
        <v>983.02</v>
      </c>
      <c r="G948" s="223">
        <v>0</v>
      </c>
      <c r="H948" s="224">
        <v>0</v>
      </c>
      <c r="I948" s="258">
        <f t="shared" si="9"/>
        <v>1179.6239999999998</v>
      </c>
    </row>
    <row r="949" spans="1:9" hidden="1" x14ac:dyDescent="0.3">
      <c r="A949" s="211" t="s">
        <v>2231</v>
      </c>
      <c r="B949" s="211" t="s">
        <v>293</v>
      </c>
      <c r="C949" s="211" t="s">
        <v>2199</v>
      </c>
      <c r="D949" s="199"/>
      <c r="E949" s="257" t="s">
        <v>2232</v>
      </c>
      <c r="F949" s="223">
        <v>846.98</v>
      </c>
      <c r="G949" s="223">
        <v>0</v>
      </c>
      <c r="H949" s="224">
        <v>0</v>
      </c>
      <c r="I949" s="258">
        <f t="shared" si="9"/>
        <v>1016.3760000000001</v>
      </c>
    </row>
    <row r="950" spans="1:9" hidden="1" x14ac:dyDescent="0.3">
      <c r="A950" s="211" t="s">
        <v>2233</v>
      </c>
      <c r="B950" s="211" t="s">
        <v>293</v>
      </c>
      <c r="C950" s="211" t="s">
        <v>2199</v>
      </c>
      <c r="D950" s="199"/>
      <c r="E950" s="257" t="s">
        <v>2234</v>
      </c>
      <c r="F950" s="223">
        <v>874.92</v>
      </c>
      <c r="G950" s="223">
        <v>0</v>
      </c>
      <c r="H950" s="224">
        <v>0</v>
      </c>
      <c r="I950" s="258">
        <f t="shared" si="9"/>
        <v>1049.904</v>
      </c>
    </row>
    <row r="951" spans="1:9" hidden="1" x14ac:dyDescent="0.3">
      <c r="A951" s="211" t="s">
        <v>2235</v>
      </c>
      <c r="B951" s="211" t="s">
        <v>293</v>
      </c>
      <c r="C951" s="211" t="s">
        <v>2199</v>
      </c>
      <c r="D951" s="199"/>
      <c r="E951" s="257" t="s">
        <v>2236</v>
      </c>
      <c r="F951" s="223">
        <v>677.6</v>
      </c>
      <c r="G951" s="223">
        <v>0</v>
      </c>
      <c r="H951" s="224">
        <v>0</v>
      </c>
      <c r="I951" s="258">
        <f t="shared" si="9"/>
        <v>813.12000000000012</v>
      </c>
    </row>
    <row r="952" spans="1:9" hidden="1" x14ac:dyDescent="0.3">
      <c r="A952" s="211" t="s">
        <v>2237</v>
      </c>
      <c r="B952" s="211" t="s">
        <v>293</v>
      </c>
      <c r="C952" s="211" t="s">
        <v>2199</v>
      </c>
      <c r="D952" s="199"/>
      <c r="E952" s="257" t="s">
        <v>2238</v>
      </c>
      <c r="F952" s="223">
        <v>1245.72</v>
      </c>
      <c r="G952" s="223">
        <v>0</v>
      </c>
      <c r="H952" s="224">
        <v>0</v>
      </c>
      <c r="I952" s="258">
        <f t="shared" si="9"/>
        <v>1494.864</v>
      </c>
    </row>
    <row r="953" spans="1:9" hidden="1" x14ac:dyDescent="0.3">
      <c r="A953" s="211" t="s">
        <v>2239</v>
      </c>
      <c r="B953" s="211" t="s">
        <v>293</v>
      </c>
      <c r="C953" s="211" t="s">
        <v>2199</v>
      </c>
      <c r="D953" s="199"/>
      <c r="E953" s="257" t="s">
        <v>2240</v>
      </c>
      <c r="F953" s="223">
        <v>858.54</v>
      </c>
      <c r="G953" s="223">
        <v>0</v>
      </c>
      <c r="H953" s="224">
        <v>0</v>
      </c>
      <c r="I953" s="258">
        <f t="shared" si="9"/>
        <v>1030.248</v>
      </c>
    </row>
    <row r="954" spans="1:9" hidden="1" x14ac:dyDescent="0.3">
      <c r="A954" s="211" t="s">
        <v>2241</v>
      </c>
      <c r="B954" s="211" t="s">
        <v>293</v>
      </c>
      <c r="C954" s="211" t="s">
        <v>2199</v>
      </c>
      <c r="D954" s="199"/>
      <c r="E954" s="257" t="s">
        <v>2242</v>
      </c>
      <c r="F954" s="223">
        <v>1212.68</v>
      </c>
      <c r="G954" s="223">
        <v>0</v>
      </c>
      <c r="H954" s="224">
        <v>0</v>
      </c>
      <c r="I954" s="258">
        <f t="shared" si="9"/>
        <v>1455.2159999999999</v>
      </c>
    </row>
    <row r="955" spans="1:9" hidden="1" x14ac:dyDescent="0.3">
      <c r="A955" s="211" t="s">
        <v>2243</v>
      </c>
      <c r="B955" s="211" t="s">
        <v>293</v>
      </c>
      <c r="C955" s="211" t="s">
        <v>2199</v>
      </c>
      <c r="D955" s="199"/>
      <c r="E955" s="257" t="s">
        <v>2244</v>
      </c>
      <c r="F955" s="223">
        <v>533.1</v>
      </c>
      <c r="G955" s="223">
        <v>0</v>
      </c>
      <c r="H955" s="224">
        <v>0</v>
      </c>
      <c r="I955" s="258">
        <f t="shared" si="9"/>
        <v>639.72</v>
      </c>
    </row>
    <row r="956" spans="1:9" hidden="1" x14ac:dyDescent="0.3">
      <c r="A956" s="211" t="s">
        <v>2245</v>
      </c>
      <c r="B956" s="211" t="s">
        <v>293</v>
      </c>
      <c r="C956" s="211" t="s">
        <v>2199</v>
      </c>
      <c r="D956" s="199"/>
      <c r="E956" s="257" t="s">
        <v>2246</v>
      </c>
      <c r="F956" s="223">
        <v>1134.51</v>
      </c>
      <c r="G956" s="223">
        <v>0</v>
      </c>
      <c r="H956" s="224">
        <v>0</v>
      </c>
      <c r="I956" s="258">
        <f t="shared" si="9"/>
        <v>1361.4119999999998</v>
      </c>
    </row>
    <row r="957" spans="1:9" hidden="1" x14ac:dyDescent="0.3">
      <c r="A957" s="211" t="s">
        <v>2247</v>
      </c>
      <c r="B957" s="211" t="s">
        <v>293</v>
      </c>
      <c r="C957" s="211" t="s">
        <v>2199</v>
      </c>
      <c r="D957" s="199"/>
      <c r="E957" s="257" t="s">
        <v>2248</v>
      </c>
      <c r="F957" s="223">
        <v>1369.28</v>
      </c>
      <c r="G957" s="223">
        <v>0</v>
      </c>
      <c r="H957" s="224">
        <v>0</v>
      </c>
      <c r="I957" s="258">
        <f t="shared" si="9"/>
        <v>1643.136</v>
      </c>
    </row>
    <row r="958" spans="1:9" hidden="1" x14ac:dyDescent="0.3">
      <c r="A958" s="211" t="s">
        <v>2249</v>
      </c>
      <c r="B958" s="211" t="s">
        <v>293</v>
      </c>
      <c r="C958" s="211" t="s">
        <v>2199</v>
      </c>
      <c r="D958" s="199"/>
      <c r="E958" s="257" t="s">
        <v>2250</v>
      </c>
      <c r="F958" s="223">
        <v>939.3</v>
      </c>
      <c r="G958" s="223">
        <v>0</v>
      </c>
      <c r="H958" s="224">
        <v>0</v>
      </c>
      <c r="I958" s="258">
        <f t="shared" si="9"/>
        <v>1127.1599999999999</v>
      </c>
    </row>
    <row r="959" spans="1:9" hidden="1" x14ac:dyDescent="0.3">
      <c r="A959" s="211" t="s">
        <v>2251</v>
      </c>
      <c r="B959" s="211" t="s">
        <v>293</v>
      </c>
      <c r="C959" s="211" t="s">
        <v>2199</v>
      </c>
      <c r="D959" s="199"/>
      <c r="E959" s="257" t="s">
        <v>2252</v>
      </c>
      <c r="F959" s="223">
        <v>961.17</v>
      </c>
      <c r="G959" s="223">
        <v>0</v>
      </c>
      <c r="H959" s="224">
        <v>0</v>
      </c>
      <c r="I959" s="258">
        <f t="shared" si="9"/>
        <v>1153.404</v>
      </c>
    </row>
    <row r="960" spans="1:9" hidden="1" x14ac:dyDescent="0.3">
      <c r="A960" s="211" t="s">
        <v>2253</v>
      </c>
      <c r="B960" s="211" t="s">
        <v>293</v>
      </c>
      <c r="C960" s="211" t="s">
        <v>2199</v>
      </c>
      <c r="D960" s="199"/>
      <c r="E960" s="257" t="s">
        <v>2254</v>
      </c>
      <c r="F960" s="223">
        <v>781.39</v>
      </c>
      <c r="G960" s="223">
        <v>0</v>
      </c>
      <c r="H960" s="224">
        <v>0</v>
      </c>
      <c r="I960" s="258">
        <f t="shared" si="9"/>
        <v>937.66799999999989</v>
      </c>
    </row>
    <row r="961" spans="1:12" hidden="1" x14ac:dyDescent="0.3">
      <c r="A961" s="211" t="s">
        <v>2255</v>
      </c>
      <c r="B961" s="211" t="s">
        <v>293</v>
      </c>
      <c r="C961" s="211" t="s">
        <v>2199</v>
      </c>
      <c r="D961" s="199"/>
      <c r="E961" s="257" t="s">
        <v>2256</v>
      </c>
      <c r="F961" s="223">
        <v>758.36</v>
      </c>
      <c r="G961" s="223">
        <v>0</v>
      </c>
      <c r="H961" s="224">
        <v>0</v>
      </c>
      <c r="I961" s="258">
        <f t="shared" si="9"/>
        <v>910.03199999999993</v>
      </c>
    </row>
    <row r="962" spans="1:12" hidden="1" x14ac:dyDescent="0.3">
      <c r="A962" s="211" t="s">
        <v>2257</v>
      </c>
      <c r="B962" s="211" t="s">
        <v>293</v>
      </c>
      <c r="C962" s="211" t="s">
        <v>2199</v>
      </c>
      <c r="D962" s="199"/>
      <c r="E962" s="257" t="s">
        <v>2258</v>
      </c>
      <c r="F962" s="223">
        <v>766.88</v>
      </c>
      <c r="G962" s="223">
        <v>0</v>
      </c>
      <c r="H962" s="224">
        <v>0</v>
      </c>
      <c r="I962" s="258">
        <f t="shared" si="9"/>
        <v>920.25600000000009</v>
      </c>
    </row>
    <row r="963" spans="1:12" hidden="1" x14ac:dyDescent="0.3">
      <c r="A963" s="211" t="s">
        <v>2259</v>
      </c>
      <c r="B963" s="211" t="s">
        <v>293</v>
      </c>
      <c r="C963" s="211" t="s">
        <v>2199</v>
      </c>
      <c r="D963" s="199"/>
      <c r="E963" s="257" t="s">
        <v>2260</v>
      </c>
      <c r="F963" s="223">
        <v>1065.42</v>
      </c>
      <c r="G963" s="223">
        <v>0</v>
      </c>
      <c r="H963" s="224">
        <v>0</v>
      </c>
      <c r="I963" s="258">
        <f t="shared" si="9"/>
        <v>1278.5039999999999</v>
      </c>
    </row>
    <row r="964" spans="1:12" hidden="1" x14ac:dyDescent="0.3">
      <c r="A964" s="211" t="s">
        <v>2261</v>
      </c>
      <c r="B964" s="211" t="s">
        <v>293</v>
      </c>
      <c r="C964" s="211" t="s">
        <v>2199</v>
      </c>
      <c r="D964" s="199"/>
      <c r="E964" s="257" t="s">
        <v>2262</v>
      </c>
      <c r="F964" s="223">
        <v>1481.3</v>
      </c>
      <c r="G964" s="223">
        <v>0</v>
      </c>
      <c r="H964" s="224">
        <v>0</v>
      </c>
      <c r="I964" s="258">
        <f t="shared" si="9"/>
        <v>1777.56</v>
      </c>
    </row>
    <row r="965" spans="1:12" hidden="1" x14ac:dyDescent="0.3">
      <c r="A965" s="211" t="s">
        <v>2263</v>
      </c>
      <c r="B965" s="211" t="s">
        <v>293</v>
      </c>
      <c r="C965" s="211" t="s">
        <v>2199</v>
      </c>
      <c r="D965" s="199"/>
      <c r="E965" s="257" t="s">
        <v>2264</v>
      </c>
      <c r="F965" s="223">
        <v>1338.05</v>
      </c>
      <c r="G965" s="223">
        <v>0</v>
      </c>
      <c r="H965" s="224">
        <v>0</v>
      </c>
      <c r="I965" s="258">
        <f t="shared" si="9"/>
        <v>1605.66</v>
      </c>
    </row>
    <row r="966" spans="1:12" hidden="1" x14ac:dyDescent="0.3">
      <c r="A966" s="211" t="s">
        <v>2265</v>
      </c>
      <c r="B966" s="211" t="s">
        <v>293</v>
      </c>
      <c r="C966" s="211" t="s">
        <v>2199</v>
      </c>
      <c r="D966" s="199"/>
      <c r="E966" s="257" t="s">
        <v>2266</v>
      </c>
      <c r="F966" s="223">
        <v>1047.6199999999999</v>
      </c>
      <c r="G966" s="223">
        <v>0</v>
      </c>
      <c r="H966" s="224">
        <v>0</v>
      </c>
      <c r="I966" s="258">
        <f t="shared" si="9"/>
        <v>1257.1439999999998</v>
      </c>
    </row>
    <row r="967" spans="1:12" hidden="1" x14ac:dyDescent="0.3">
      <c r="A967" s="211" t="s">
        <v>2267</v>
      </c>
      <c r="B967" s="211" t="s">
        <v>280</v>
      </c>
      <c r="C967" s="211" t="s">
        <v>2199</v>
      </c>
      <c r="D967" s="199"/>
      <c r="E967" s="257" t="s">
        <v>2268</v>
      </c>
      <c r="F967" s="223">
        <v>1953.19</v>
      </c>
      <c r="G967" s="223">
        <v>2000</v>
      </c>
      <c r="H967" s="224">
        <v>2400</v>
      </c>
      <c r="I967" s="258">
        <f t="shared" si="9"/>
        <v>2343.8280000000004</v>
      </c>
    </row>
    <row r="968" spans="1:12" hidden="1" x14ac:dyDescent="0.3">
      <c r="A968" s="211" t="s">
        <v>2269</v>
      </c>
      <c r="B968" s="211" t="s">
        <v>280</v>
      </c>
      <c r="C968" s="211" t="s">
        <v>2199</v>
      </c>
      <c r="D968" s="199"/>
      <c r="E968" s="256" t="s">
        <v>2270</v>
      </c>
      <c r="F968" s="223">
        <v>115.61</v>
      </c>
      <c r="G968" s="223">
        <v>0</v>
      </c>
      <c r="H968" s="224">
        <v>0</v>
      </c>
      <c r="I968" s="258">
        <f t="shared" si="9"/>
        <v>138.732</v>
      </c>
      <c r="K968" s="259">
        <f>SUM(I847:I968)</f>
        <v>327501.70799999993</v>
      </c>
      <c r="L968" t="s">
        <v>2645</v>
      </c>
    </row>
    <row r="969" spans="1:12" hidden="1" x14ac:dyDescent="0.3">
      <c r="A969" s="211" t="s">
        <v>2271</v>
      </c>
      <c r="B969" s="211" t="s">
        <v>263</v>
      </c>
      <c r="C969" s="211" t="s">
        <v>2272</v>
      </c>
      <c r="D969" s="199"/>
      <c r="E969" s="211" t="s">
        <v>2273</v>
      </c>
      <c r="F969" s="211">
        <v>14269.9</v>
      </c>
      <c r="G969" s="211">
        <v>0</v>
      </c>
      <c r="H969" s="204">
        <v>0</v>
      </c>
      <c r="I969" s="205">
        <f t="shared" si="9"/>
        <v>17123.88</v>
      </c>
    </row>
    <row r="970" spans="1:12" hidden="1" x14ac:dyDescent="0.3">
      <c r="A970" s="211" t="s">
        <v>2274</v>
      </c>
      <c r="B970" s="211" t="s">
        <v>263</v>
      </c>
      <c r="C970" s="211" t="s">
        <v>2272</v>
      </c>
      <c r="D970" s="199"/>
      <c r="E970" s="211" t="s">
        <v>2275</v>
      </c>
      <c r="F970" s="211">
        <v>7692.75</v>
      </c>
      <c r="G970" s="211">
        <v>0</v>
      </c>
      <c r="H970" s="204">
        <v>0</v>
      </c>
      <c r="I970" s="205">
        <f t="shared" si="9"/>
        <v>9231.2999999999993</v>
      </c>
    </row>
    <row r="971" spans="1:12" hidden="1" x14ac:dyDescent="0.3">
      <c r="A971" s="211" t="s">
        <v>2276</v>
      </c>
      <c r="B971" s="211" t="s">
        <v>263</v>
      </c>
      <c r="C971" s="211" t="s">
        <v>2272</v>
      </c>
      <c r="D971" s="199"/>
      <c r="E971" s="211" t="s">
        <v>2277</v>
      </c>
      <c r="F971" s="211">
        <v>890</v>
      </c>
      <c r="G971" s="211">
        <v>0</v>
      </c>
      <c r="H971" s="204">
        <v>0</v>
      </c>
      <c r="I971" s="205">
        <f t="shared" si="9"/>
        <v>1068</v>
      </c>
      <c r="K971" s="205" t="s">
        <v>229</v>
      </c>
    </row>
    <row r="972" spans="1:12" hidden="1" x14ac:dyDescent="0.3">
      <c r="A972" s="211" t="s">
        <v>2278</v>
      </c>
      <c r="B972" s="211" t="s">
        <v>1423</v>
      </c>
      <c r="C972" s="211" t="s">
        <v>2272</v>
      </c>
      <c r="D972" s="199"/>
      <c r="E972" s="211" t="s">
        <v>2279</v>
      </c>
      <c r="F972" s="211">
        <v>0</v>
      </c>
      <c r="G972" s="211">
        <v>25000</v>
      </c>
      <c r="H972" s="204">
        <v>30000</v>
      </c>
      <c r="I972" s="205">
        <f t="shared" si="9"/>
        <v>0</v>
      </c>
    </row>
    <row r="973" spans="1:12" hidden="1" x14ac:dyDescent="0.3">
      <c r="A973" s="211" t="s">
        <v>2280</v>
      </c>
      <c r="B973" s="211" t="s">
        <v>1423</v>
      </c>
      <c r="C973" s="211" t="s">
        <v>2272</v>
      </c>
      <c r="D973" s="199"/>
      <c r="E973" s="211" t="s">
        <v>2281</v>
      </c>
      <c r="F973" s="211">
        <v>9102.9500000000007</v>
      </c>
      <c r="G973" s="211">
        <v>0</v>
      </c>
      <c r="H973" s="204">
        <v>0</v>
      </c>
      <c r="I973" s="205">
        <f t="shared" si="9"/>
        <v>10923.54</v>
      </c>
    </row>
    <row r="974" spans="1:12" hidden="1" x14ac:dyDescent="0.3">
      <c r="A974" s="211" t="s">
        <v>2282</v>
      </c>
      <c r="B974" s="211" t="s">
        <v>1423</v>
      </c>
      <c r="C974" s="211" t="s">
        <v>2272</v>
      </c>
      <c r="D974" s="199"/>
      <c r="E974" s="211" t="s">
        <v>2283</v>
      </c>
      <c r="F974" s="211">
        <v>6116.44</v>
      </c>
      <c r="G974" s="211">
        <v>4166.7</v>
      </c>
      <c r="H974" s="204">
        <v>5000.0399999999991</v>
      </c>
      <c r="I974" s="205">
        <f t="shared" si="9"/>
        <v>7339.7280000000001</v>
      </c>
    </row>
    <row r="975" spans="1:12" hidden="1" x14ac:dyDescent="0.3">
      <c r="A975" s="211" t="s">
        <v>2284</v>
      </c>
      <c r="B975" s="211" t="s">
        <v>1423</v>
      </c>
      <c r="C975" s="211" t="s">
        <v>2272</v>
      </c>
      <c r="D975" s="199"/>
      <c r="E975" s="211" t="s">
        <v>2285</v>
      </c>
      <c r="F975" s="211">
        <v>18596.11</v>
      </c>
      <c r="G975" s="211">
        <v>0</v>
      </c>
      <c r="H975" s="204">
        <v>0</v>
      </c>
      <c r="I975" s="205">
        <f t="shared" si="9"/>
        <v>22315.332000000002</v>
      </c>
    </row>
    <row r="976" spans="1:12" hidden="1" x14ac:dyDescent="0.3">
      <c r="A976" s="211" t="s">
        <v>2286</v>
      </c>
      <c r="B976" s="211" t="s">
        <v>1423</v>
      </c>
      <c r="C976" s="211" t="s">
        <v>2272</v>
      </c>
      <c r="D976" s="199"/>
      <c r="E976" s="211" t="s">
        <v>2287</v>
      </c>
      <c r="F976" s="211">
        <v>4868.5600000000004</v>
      </c>
      <c r="G976" s="211">
        <v>0</v>
      </c>
      <c r="H976" s="204">
        <v>0</v>
      </c>
      <c r="I976" s="205">
        <f t="shared" si="9"/>
        <v>5842.2720000000008</v>
      </c>
    </row>
    <row r="977" spans="1:9" hidden="1" x14ac:dyDescent="0.3">
      <c r="A977" s="211" t="s">
        <v>2288</v>
      </c>
      <c r="B977" s="211" t="s">
        <v>251</v>
      </c>
      <c r="C977" s="211" t="s">
        <v>1287</v>
      </c>
      <c r="D977" s="199"/>
      <c r="E977" s="211" t="s">
        <v>2289</v>
      </c>
      <c r="F977" s="211">
        <v>21498.560000000001</v>
      </c>
      <c r="G977" s="211">
        <v>0</v>
      </c>
      <c r="H977" s="204">
        <v>0</v>
      </c>
      <c r="I977" s="205">
        <f t="shared" si="9"/>
        <v>25798.272000000004</v>
      </c>
    </row>
    <row r="978" spans="1:9" hidden="1" x14ac:dyDescent="0.3">
      <c r="A978" s="211" t="s">
        <v>2290</v>
      </c>
      <c r="B978" s="211" t="s">
        <v>257</v>
      </c>
      <c r="C978" s="211" t="s">
        <v>1287</v>
      </c>
      <c r="D978" s="199"/>
      <c r="E978" s="211" t="s">
        <v>2291</v>
      </c>
      <c r="F978" s="211">
        <v>38614.160000000003</v>
      </c>
      <c r="G978" s="211">
        <v>1666.7</v>
      </c>
      <c r="H978" s="204">
        <v>2000.0400000000002</v>
      </c>
      <c r="I978" s="205">
        <f t="shared" si="9"/>
        <v>46336.991999999998</v>
      </c>
    </row>
    <row r="979" spans="1:9" hidden="1" x14ac:dyDescent="0.3">
      <c r="A979" s="211" t="s">
        <v>2292</v>
      </c>
      <c r="B979" s="211" t="s">
        <v>293</v>
      </c>
      <c r="C979" s="211" t="s">
        <v>2272</v>
      </c>
      <c r="D979" s="199"/>
      <c r="E979" s="211" t="s">
        <v>2293</v>
      </c>
      <c r="F979" s="211">
        <v>4138.33</v>
      </c>
      <c r="G979" s="211">
        <v>12500</v>
      </c>
      <c r="H979" s="204">
        <v>15000</v>
      </c>
      <c r="I979" s="205">
        <f t="shared" si="9"/>
        <v>4965.9959999999992</v>
      </c>
    </row>
    <row r="980" spans="1:9" hidden="1" x14ac:dyDescent="0.3">
      <c r="A980" s="211" t="s">
        <v>2294</v>
      </c>
      <c r="B980" s="211" t="s">
        <v>293</v>
      </c>
      <c r="C980" s="211" t="s">
        <v>2272</v>
      </c>
      <c r="D980" s="199"/>
      <c r="E980" s="211" t="s">
        <v>2295</v>
      </c>
      <c r="F980" s="211">
        <v>2384.81</v>
      </c>
      <c r="G980" s="211">
        <v>10833.3</v>
      </c>
      <c r="H980" s="204">
        <v>12999.96</v>
      </c>
      <c r="I980" s="205">
        <f t="shared" si="9"/>
        <v>2861.7719999999999</v>
      </c>
    </row>
    <row r="981" spans="1:9" hidden="1" x14ac:dyDescent="0.3">
      <c r="A981" s="211" t="s">
        <v>2296</v>
      </c>
      <c r="B981" s="211" t="s">
        <v>293</v>
      </c>
      <c r="C981" s="211" t="s">
        <v>2272</v>
      </c>
      <c r="D981" s="199"/>
      <c r="E981" s="211" t="s">
        <v>2297</v>
      </c>
      <c r="F981" s="211">
        <v>4680.9799999999996</v>
      </c>
      <c r="G981" s="211">
        <v>5877.5</v>
      </c>
      <c r="H981" s="204">
        <v>7053</v>
      </c>
      <c r="I981" s="205">
        <f t="shared" si="9"/>
        <v>5617.1759999999995</v>
      </c>
    </row>
    <row r="982" spans="1:9" hidden="1" x14ac:dyDescent="0.3">
      <c r="A982" s="211" t="s">
        <v>2298</v>
      </c>
      <c r="B982" s="211" t="s">
        <v>293</v>
      </c>
      <c r="C982" s="211" t="s">
        <v>2272</v>
      </c>
      <c r="D982" s="199"/>
      <c r="E982" s="211" t="s">
        <v>2299</v>
      </c>
      <c r="F982" s="211">
        <v>11419.35</v>
      </c>
      <c r="G982" s="211">
        <v>33864.199999999997</v>
      </c>
      <c r="H982" s="204">
        <v>40637.039999999994</v>
      </c>
      <c r="I982" s="205">
        <f t="shared" si="9"/>
        <v>13703.22</v>
      </c>
    </row>
    <row r="983" spans="1:9" hidden="1" x14ac:dyDescent="0.3">
      <c r="A983" s="211" t="s">
        <v>2300</v>
      </c>
      <c r="B983" s="211" t="s">
        <v>293</v>
      </c>
      <c r="C983" s="211" t="s">
        <v>2272</v>
      </c>
      <c r="D983" s="199"/>
      <c r="E983" s="211" t="s">
        <v>2301</v>
      </c>
      <c r="F983" s="211">
        <v>397.59</v>
      </c>
      <c r="G983" s="211">
        <v>0</v>
      </c>
      <c r="H983" s="204">
        <v>0</v>
      </c>
      <c r="I983" s="205">
        <f t="shared" si="9"/>
        <v>477.108</v>
      </c>
    </row>
    <row r="984" spans="1:9" hidden="1" x14ac:dyDescent="0.3">
      <c r="A984" s="211" t="s">
        <v>2302</v>
      </c>
      <c r="B984" s="211" t="s">
        <v>293</v>
      </c>
      <c r="C984" s="211" t="s">
        <v>2272</v>
      </c>
      <c r="D984" s="199"/>
      <c r="E984" s="211" t="s">
        <v>2303</v>
      </c>
      <c r="F984" s="211">
        <v>92.5</v>
      </c>
      <c r="G984" s="211">
        <v>0</v>
      </c>
      <c r="H984" s="204">
        <v>0</v>
      </c>
      <c r="I984" s="205">
        <f t="shared" si="9"/>
        <v>111</v>
      </c>
    </row>
    <row r="985" spans="1:9" hidden="1" x14ac:dyDescent="0.3">
      <c r="A985" s="211" t="s">
        <v>2304</v>
      </c>
      <c r="B985" s="211" t="s">
        <v>293</v>
      </c>
      <c r="C985" s="211" t="s">
        <v>2272</v>
      </c>
      <c r="D985" s="199"/>
      <c r="E985" s="211" t="s">
        <v>2305</v>
      </c>
      <c r="F985" s="211">
        <v>1467.16</v>
      </c>
      <c r="G985" s="211">
        <v>0</v>
      </c>
      <c r="H985" s="204">
        <v>0</v>
      </c>
      <c r="I985" s="205">
        <f t="shared" si="9"/>
        <v>1760.5920000000001</v>
      </c>
    </row>
    <row r="986" spans="1:9" hidden="1" x14ac:dyDescent="0.3">
      <c r="A986" s="211" t="s">
        <v>2306</v>
      </c>
      <c r="B986" s="211" t="s">
        <v>293</v>
      </c>
      <c r="C986" s="211" t="s">
        <v>2272</v>
      </c>
      <c r="D986" s="199"/>
      <c r="E986" s="211" t="s">
        <v>2307</v>
      </c>
      <c r="F986" s="211">
        <v>1943.94</v>
      </c>
      <c r="G986" s="211">
        <v>0</v>
      </c>
      <c r="H986" s="204">
        <v>0</v>
      </c>
      <c r="I986" s="205">
        <f t="shared" si="9"/>
        <v>2332.7280000000001</v>
      </c>
    </row>
    <row r="987" spans="1:9" hidden="1" x14ac:dyDescent="0.3">
      <c r="A987" s="211" t="s">
        <v>2308</v>
      </c>
      <c r="B987" s="211" t="s">
        <v>293</v>
      </c>
      <c r="C987" s="211" t="s">
        <v>2272</v>
      </c>
      <c r="D987" s="199"/>
      <c r="E987" s="211" t="s">
        <v>2309</v>
      </c>
      <c r="F987" s="211">
        <v>2648.58</v>
      </c>
      <c r="G987" s="211">
        <v>0</v>
      </c>
      <c r="H987" s="204">
        <v>0</v>
      </c>
      <c r="I987" s="205">
        <f t="shared" si="9"/>
        <v>3178.2960000000003</v>
      </c>
    </row>
    <row r="988" spans="1:9" hidden="1" x14ac:dyDescent="0.3">
      <c r="A988" s="211" t="s">
        <v>2310</v>
      </c>
      <c r="B988" s="211" t="s">
        <v>293</v>
      </c>
      <c r="C988" s="211" t="s">
        <v>2272</v>
      </c>
      <c r="D988" s="199"/>
      <c r="E988" s="211" t="s">
        <v>2311</v>
      </c>
      <c r="F988" s="211">
        <v>553.55999999999995</v>
      </c>
      <c r="G988" s="211">
        <v>0</v>
      </c>
      <c r="H988" s="204">
        <v>0</v>
      </c>
      <c r="I988" s="205">
        <f t="shared" si="9"/>
        <v>664.27199999999993</v>
      </c>
    </row>
    <row r="989" spans="1:9" hidden="1" x14ac:dyDescent="0.3">
      <c r="A989" s="211" t="s">
        <v>2312</v>
      </c>
      <c r="B989" s="211" t="s">
        <v>293</v>
      </c>
      <c r="C989" s="211" t="s">
        <v>2272</v>
      </c>
      <c r="D989" s="199"/>
      <c r="E989" s="211" t="s">
        <v>2313</v>
      </c>
      <c r="F989" s="211">
        <v>1336.68</v>
      </c>
      <c r="G989" s="211">
        <v>0</v>
      </c>
      <c r="H989" s="204">
        <v>0</v>
      </c>
      <c r="I989" s="205">
        <f t="shared" si="9"/>
        <v>1604.0160000000001</v>
      </c>
    </row>
    <row r="990" spans="1:9" hidden="1" x14ac:dyDescent="0.3">
      <c r="A990" s="211" t="s">
        <v>2314</v>
      </c>
      <c r="B990" s="211" t="s">
        <v>293</v>
      </c>
      <c r="C990" s="211" t="s">
        <v>2272</v>
      </c>
      <c r="D990" s="199"/>
      <c r="E990" s="211" t="s">
        <v>2315</v>
      </c>
      <c r="F990" s="211">
        <v>2344.39</v>
      </c>
      <c r="G990" s="211">
        <v>0</v>
      </c>
      <c r="H990" s="204">
        <v>0</v>
      </c>
      <c r="I990" s="205">
        <f t="shared" si="9"/>
        <v>2813.268</v>
      </c>
    </row>
    <row r="991" spans="1:9" hidden="1" x14ac:dyDescent="0.3">
      <c r="A991" s="211" t="s">
        <v>2316</v>
      </c>
      <c r="B991" s="211" t="s">
        <v>293</v>
      </c>
      <c r="C991" s="211" t="s">
        <v>2272</v>
      </c>
      <c r="D991" s="199"/>
      <c r="E991" s="211" t="s">
        <v>2317</v>
      </c>
      <c r="F991" s="211">
        <v>8480.9500000000007</v>
      </c>
      <c r="G991" s="211">
        <v>0</v>
      </c>
      <c r="H991" s="204">
        <v>0</v>
      </c>
      <c r="I991" s="205">
        <f t="shared" si="9"/>
        <v>10177.14</v>
      </c>
    </row>
    <row r="992" spans="1:9" hidden="1" x14ac:dyDescent="0.3">
      <c r="A992" s="211" t="s">
        <v>2318</v>
      </c>
      <c r="B992" s="211" t="s">
        <v>293</v>
      </c>
      <c r="C992" s="211" t="s">
        <v>2272</v>
      </c>
      <c r="D992" s="199"/>
      <c r="E992" s="211" t="s">
        <v>2319</v>
      </c>
      <c r="F992" s="211">
        <v>6322.16</v>
      </c>
      <c r="G992" s="211">
        <v>0</v>
      </c>
      <c r="H992" s="204">
        <v>0</v>
      </c>
      <c r="I992" s="205">
        <f t="shared" si="9"/>
        <v>7586.5920000000006</v>
      </c>
    </row>
    <row r="993" spans="1:9" hidden="1" x14ac:dyDescent="0.3">
      <c r="A993" s="211" t="s">
        <v>2320</v>
      </c>
      <c r="B993" s="211" t="s">
        <v>293</v>
      </c>
      <c r="C993" s="211" t="s">
        <v>2272</v>
      </c>
      <c r="D993" s="199"/>
      <c r="E993" s="211" t="s">
        <v>2321</v>
      </c>
      <c r="F993" s="211">
        <v>3273.81</v>
      </c>
      <c r="G993" s="211">
        <v>0</v>
      </c>
      <c r="H993" s="204">
        <v>0</v>
      </c>
      <c r="I993" s="205">
        <f t="shared" si="9"/>
        <v>3928.5719999999997</v>
      </c>
    </row>
    <row r="994" spans="1:9" hidden="1" x14ac:dyDescent="0.3">
      <c r="A994" s="211" t="s">
        <v>2322</v>
      </c>
      <c r="B994" s="211" t="s">
        <v>293</v>
      </c>
      <c r="C994" s="211" t="s">
        <v>2272</v>
      </c>
      <c r="D994" s="199"/>
      <c r="E994" s="211" t="s">
        <v>2323</v>
      </c>
      <c r="F994" s="211">
        <v>3952.04</v>
      </c>
      <c r="G994" s="211">
        <v>0</v>
      </c>
      <c r="H994" s="204">
        <v>0</v>
      </c>
      <c r="I994" s="205">
        <f t="shared" si="9"/>
        <v>4742.4480000000003</v>
      </c>
    </row>
    <row r="995" spans="1:9" hidden="1" x14ac:dyDescent="0.3">
      <c r="A995" s="211" t="s">
        <v>2324</v>
      </c>
      <c r="B995" s="211" t="s">
        <v>293</v>
      </c>
      <c r="C995" s="211" t="s">
        <v>2272</v>
      </c>
      <c r="D995" s="199"/>
      <c r="E995" s="211" t="s">
        <v>2325</v>
      </c>
      <c r="F995" s="211">
        <v>2553.9499999999998</v>
      </c>
      <c r="G995" s="211">
        <v>0</v>
      </c>
      <c r="H995" s="204">
        <v>0</v>
      </c>
      <c r="I995" s="205">
        <f t="shared" si="9"/>
        <v>3064.74</v>
      </c>
    </row>
    <row r="996" spans="1:9" hidden="1" x14ac:dyDescent="0.3">
      <c r="A996" s="211" t="s">
        <v>2326</v>
      </c>
      <c r="B996" s="211" t="s">
        <v>293</v>
      </c>
      <c r="C996" s="211" t="s">
        <v>2272</v>
      </c>
      <c r="D996" s="199"/>
      <c r="E996" s="211" t="s">
        <v>2327</v>
      </c>
      <c r="F996" s="211">
        <v>1146.6600000000001</v>
      </c>
      <c r="G996" s="211">
        <v>0</v>
      </c>
      <c r="H996" s="204">
        <v>0</v>
      </c>
      <c r="I996" s="205">
        <f t="shared" si="9"/>
        <v>1375.9920000000002</v>
      </c>
    </row>
    <row r="997" spans="1:9" hidden="1" x14ac:dyDescent="0.3">
      <c r="A997" s="211" t="s">
        <v>2328</v>
      </c>
      <c r="B997" s="211" t="s">
        <v>293</v>
      </c>
      <c r="C997" s="211" t="s">
        <v>2272</v>
      </c>
      <c r="D997" s="199"/>
      <c r="E997" s="211" t="s">
        <v>2329</v>
      </c>
      <c r="F997" s="211">
        <v>866.94</v>
      </c>
      <c r="G997" s="211">
        <v>0</v>
      </c>
      <c r="H997" s="204">
        <v>0</v>
      </c>
      <c r="I997" s="205">
        <f t="shared" si="9"/>
        <v>1040.328</v>
      </c>
    </row>
    <row r="998" spans="1:9" hidden="1" x14ac:dyDescent="0.3">
      <c r="A998" s="211" t="s">
        <v>2330</v>
      </c>
      <c r="B998" s="211" t="s">
        <v>293</v>
      </c>
      <c r="C998" s="211" t="s">
        <v>2272</v>
      </c>
      <c r="D998" s="199"/>
      <c r="E998" s="211" t="s">
        <v>2331</v>
      </c>
      <c r="F998" s="211">
        <v>4360.26</v>
      </c>
      <c r="G998" s="211">
        <v>0</v>
      </c>
      <c r="H998" s="204">
        <v>0</v>
      </c>
      <c r="I998" s="205">
        <f t="shared" si="9"/>
        <v>5232.3119999999999</v>
      </c>
    </row>
    <row r="999" spans="1:9" hidden="1" x14ac:dyDescent="0.3">
      <c r="A999" s="211" t="s">
        <v>2332</v>
      </c>
      <c r="B999" s="211" t="s">
        <v>293</v>
      </c>
      <c r="C999" s="211" t="s">
        <v>2272</v>
      </c>
      <c r="D999" s="199"/>
      <c r="E999" s="211" t="s">
        <v>2333</v>
      </c>
      <c r="F999" s="211">
        <v>403.27</v>
      </c>
      <c r="G999" s="211">
        <v>0</v>
      </c>
      <c r="H999" s="204">
        <v>0</v>
      </c>
      <c r="I999" s="205">
        <f t="shared" si="9"/>
        <v>483.92399999999998</v>
      </c>
    </row>
    <row r="1000" spans="1:9" hidden="1" x14ac:dyDescent="0.3">
      <c r="A1000" s="211" t="s">
        <v>2334</v>
      </c>
      <c r="B1000" s="211" t="s">
        <v>293</v>
      </c>
      <c r="C1000" s="211" t="s">
        <v>2272</v>
      </c>
      <c r="D1000" s="199"/>
      <c r="E1000" s="211" t="s">
        <v>2335</v>
      </c>
      <c r="F1000" s="211">
        <v>517.59</v>
      </c>
      <c r="G1000" s="211">
        <v>0</v>
      </c>
      <c r="H1000" s="204">
        <v>0</v>
      </c>
      <c r="I1000" s="205">
        <f t="shared" si="9"/>
        <v>621.10799999999995</v>
      </c>
    </row>
    <row r="1001" spans="1:9" hidden="1" x14ac:dyDescent="0.3">
      <c r="A1001" s="211" t="s">
        <v>2336</v>
      </c>
      <c r="B1001" s="211" t="s">
        <v>293</v>
      </c>
      <c r="C1001" s="211" t="s">
        <v>2272</v>
      </c>
      <c r="D1001" s="199"/>
      <c r="E1001" s="211" t="s">
        <v>2337</v>
      </c>
      <c r="F1001" s="211">
        <v>103.94</v>
      </c>
      <c r="G1001" s="211">
        <v>0</v>
      </c>
      <c r="H1001" s="204">
        <v>0</v>
      </c>
      <c r="I1001" s="205">
        <f t="shared" ref="I1001:I1064" si="10">+F1001/10*12</f>
        <v>124.72800000000001</v>
      </c>
    </row>
    <row r="1002" spans="1:9" hidden="1" x14ac:dyDescent="0.3">
      <c r="A1002" s="211" t="s">
        <v>2338</v>
      </c>
      <c r="B1002" s="211" t="s">
        <v>293</v>
      </c>
      <c r="C1002" s="211" t="s">
        <v>2272</v>
      </c>
      <c r="D1002" s="199"/>
      <c r="E1002" s="211" t="s">
        <v>2339</v>
      </c>
      <c r="F1002" s="211">
        <v>154.09</v>
      </c>
      <c r="G1002" s="211">
        <v>0</v>
      </c>
      <c r="H1002" s="204">
        <v>0</v>
      </c>
      <c r="I1002" s="205">
        <f t="shared" si="10"/>
        <v>184.90800000000002</v>
      </c>
    </row>
    <row r="1003" spans="1:9" hidden="1" x14ac:dyDescent="0.3">
      <c r="A1003" s="211" t="s">
        <v>2340</v>
      </c>
      <c r="B1003" s="211" t="s">
        <v>293</v>
      </c>
      <c r="C1003" s="211" t="s">
        <v>2272</v>
      </c>
      <c r="D1003" s="199"/>
      <c r="E1003" s="211" t="s">
        <v>2341</v>
      </c>
      <c r="F1003" s="211">
        <v>2502.44</v>
      </c>
      <c r="G1003" s="211">
        <v>0</v>
      </c>
      <c r="H1003" s="204">
        <v>0</v>
      </c>
      <c r="I1003" s="205">
        <f t="shared" si="10"/>
        <v>3002.9279999999999</v>
      </c>
    </row>
    <row r="1004" spans="1:9" hidden="1" x14ac:dyDescent="0.3">
      <c r="A1004" s="211" t="s">
        <v>2342</v>
      </c>
      <c r="B1004" s="211" t="s">
        <v>293</v>
      </c>
      <c r="C1004" s="211" t="s">
        <v>2272</v>
      </c>
      <c r="D1004" s="199"/>
      <c r="E1004" s="211" t="s">
        <v>2343</v>
      </c>
      <c r="F1004" s="211">
        <v>1165.1300000000001</v>
      </c>
      <c r="G1004" s="211">
        <v>0</v>
      </c>
      <c r="H1004" s="204">
        <v>0</v>
      </c>
      <c r="I1004" s="205">
        <f t="shared" si="10"/>
        <v>1398.1559999999999</v>
      </c>
    </row>
    <row r="1005" spans="1:9" hidden="1" x14ac:dyDescent="0.3">
      <c r="A1005" s="211" t="s">
        <v>2344</v>
      </c>
      <c r="B1005" s="211" t="s">
        <v>293</v>
      </c>
      <c r="C1005" s="211" t="s">
        <v>2272</v>
      </c>
      <c r="D1005" s="199"/>
      <c r="E1005" s="211" t="s">
        <v>2345</v>
      </c>
      <c r="F1005" s="211">
        <v>4457.34</v>
      </c>
      <c r="G1005" s="211">
        <v>0</v>
      </c>
      <c r="H1005" s="204">
        <v>0</v>
      </c>
      <c r="I1005" s="205">
        <f t="shared" si="10"/>
        <v>5348.8080000000009</v>
      </c>
    </row>
    <row r="1006" spans="1:9" hidden="1" x14ac:dyDescent="0.3">
      <c r="A1006" s="211" t="s">
        <v>2346</v>
      </c>
      <c r="B1006" s="211" t="s">
        <v>293</v>
      </c>
      <c r="C1006" s="211" t="s">
        <v>2272</v>
      </c>
      <c r="D1006" s="199"/>
      <c r="E1006" s="211" t="s">
        <v>2347</v>
      </c>
      <c r="F1006" s="211">
        <v>275.23</v>
      </c>
      <c r="G1006" s="211">
        <v>0</v>
      </c>
      <c r="H1006" s="204">
        <v>0</v>
      </c>
      <c r="I1006" s="205">
        <f t="shared" si="10"/>
        <v>330.27600000000007</v>
      </c>
    </row>
    <row r="1007" spans="1:9" hidden="1" x14ac:dyDescent="0.3">
      <c r="A1007" s="211" t="s">
        <v>2348</v>
      </c>
      <c r="B1007" s="211" t="s">
        <v>293</v>
      </c>
      <c r="C1007" s="211" t="s">
        <v>2272</v>
      </c>
      <c r="D1007" s="199"/>
      <c r="E1007" s="211" t="s">
        <v>2349</v>
      </c>
      <c r="F1007" s="211">
        <v>1021.72</v>
      </c>
      <c r="G1007" s="211">
        <v>0</v>
      </c>
      <c r="H1007" s="204">
        <v>0</v>
      </c>
      <c r="I1007" s="205">
        <f t="shared" si="10"/>
        <v>1226.0639999999999</v>
      </c>
    </row>
    <row r="1008" spans="1:9" hidden="1" x14ac:dyDescent="0.3">
      <c r="A1008" s="211" t="s">
        <v>2350</v>
      </c>
      <c r="B1008" s="211" t="s">
        <v>293</v>
      </c>
      <c r="C1008" s="211" t="s">
        <v>2272</v>
      </c>
      <c r="D1008" s="199"/>
      <c r="E1008" s="211" t="s">
        <v>2351</v>
      </c>
      <c r="F1008" s="211">
        <v>1714.98</v>
      </c>
      <c r="G1008" s="211">
        <v>0</v>
      </c>
      <c r="H1008" s="204">
        <v>0</v>
      </c>
      <c r="I1008" s="205">
        <f t="shared" si="10"/>
        <v>2057.9759999999997</v>
      </c>
    </row>
    <row r="1009" spans="1:11" hidden="1" x14ac:dyDescent="0.3">
      <c r="A1009" s="211" t="s">
        <v>2352</v>
      </c>
      <c r="B1009" s="211" t="s">
        <v>293</v>
      </c>
      <c r="C1009" s="211" t="s">
        <v>2272</v>
      </c>
      <c r="D1009" s="199"/>
      <c r="E1009" s="211" t="s">
        <v>2353</v>
      </c>
      <c r="F1009" s="211">
        <v>2270.5500000000002</v>
      </c>
      <c r="G1009" s="211">
        <v>0</v>
      </c>
      <c r="H1009" s="204">
        <v>0</v>
      </c>
      <c r="I1009" s="205">
        <f t="shared" si="10"/>
        <v>2724.66</v>
      </c>
    </row>
    <row r="1010" spans="1:11" hidden="1" x14ac:dyDescent="0.3">
      <c r="A1010" s="211" t="s">
        <v>2354</v>
      </c>
      <c r="B1010" s="211" t="s">
        <v>293</v>
      </c>
      <c r="C1010" s="211" t="s">
        <v>2272</v>
      </c>
      <c r="D1010" s="199"/>
      <c r="E1010" s="256" t="s">
        <v>2355</v>
      </c>
      <c r="F1010" s="211">
        <v>2968.97</v>
      </c>
      <c r="G1010" s="211">
        <v>0</v>
      </c>
      <c r="H1010" s="204">
        <v>0</v>
      </c>
      <c r="I1010" s="205">
        <f t="shared" si="10"/>
        <v>3562.7640000000001</v>
      </c>
      <c r="K1010" s="259">
        <f>SUM(I969:I1011)</f>
        <v>249897.58800000005</v>
      </c>
    </row>
    <row r="1011" spans="1:11" hidden="1" x14ac:dyDescent="0.3">
      <c r="A1011" s="211" t="s">
        <v>2356</v>
      </c>
      <c r="B1011" s="211" t="s">
        <v>280</v>
      </c>
      <c r="C1011" s="211" t="s">
        <v>2272</v>
      </c>
      <c r="D1011" s="199"/>
      <c r="E1011" s="211" t="s">
        <v>2357</v>
      </c>
      <c r="F1011" s="211">
        <v>4678.67</v>
      </c>
      <c r="G1011" s="211">
        <v>15650</v>
      </c>
      <c r="H1011" s="204">
        <v>18780</v>
      </c>
      <c r="I1011" s="205">
        <f t="shared" si="10"/>
        <v>5614.4040000000005</v>
      </c>
      <c r="J1011" s="205" t="s">
        <v>229</v>
      </c>
    </row>
    <row r="1012" spans="1:11" hidden="1" x14ac:dyDescent="0.3">
      <c r="A1012" s="211" t="s">
        <v>2358</v>
      </c>
      <c r="B1012" s="211" t="s">
        <v>1423</v>
      </c>
      <c r="C1012" s="211" t="s">
        <v>2272</v>
      </c>
      <c r="D1012" s="199"/>
      <c r="E1012" s="211" t="s">
        <v>2359</v>
      </c>
      <c r="F1012" s="211">
        <v>0</v>
      </c>
      <c r="G1012" s="211">
        <v>16666.7</v>
      </c>
      <c r="H1012" s="204">
        <v>20000.04</v>
      </c>
      <c r="I1012" s="205">
        <f t="shared" si="10"/>
        <v>0</v>
      </c>
    </row>
    <row r="1013" spans="1:11" hidden="1" x14ac:dyDescent="0.3">
      <c r="A1013" s="211" t="s">
        <v>2360</v>
      </c>
      <c r="B1013" s="211" t="s">
        <v>1423</v>
      </c>
      <c r="C1013" s="211" t="s">
        <v>2361</v>
      </c>
      <c r="D1013" s="199"/>
      <c r="E1013" s="211" t="s">
        <v>2362</v>
      </c>
      <c r="F1013" s="211">
        <v>1408.05</v>
      </c>
      <c r="G1013" s="211">
        <v>0</v>
      </c>
      <c r="H1013" s="204">
        <v>0</v>
      </c>
      <c r="I1013" s="205">
        <f t="shared" si="10"/>
        <v>1689.66</v>
      </c>
    </row>
    <row r="1014" spans="1:11" hidden="1" x14ac:dyDescent="0.3">
      <c r="A1014" s="211" t="s">
        <v>2363</v>
      </c>
      <c r="B1014" s="211" t="s">
        <v>1423</v>
      </c>
      <c r="C1014" s="211" t="s">
        <v>2361</v>
      </c>
      <c r="D1014" s="199"/>
      <c r="E1014" s="211" t="s">
        <v>2364</v>
      </c>
      <c r="F1014" s="211">
        <v>1369.52</v>
      </c>
      <c r="G1014" s="211">
        <v>4166.7</v>
      </c>
      <c r="H1014" s="204">
        <v>5000.0399999999991</v>
      </c>
      <c r="I1014" s="205">
        <f t="shared" si="10"/>
        <v>1643.424</v>
      </c>
    </row>
    <row r="1015" spans="1:11" hidden="1" x14ac:dyDescent="0.3">
      <c r="A1015" s="211" t="s">
        <v>2365</v>
      </c>
      <c r="B1015" s="211" t="s">
        <v>1423</v>
      </c>
      <c r="C1015" s="211" t="s">
        <v>2361</v>
      </c>
      <c r="D1015" s="199"/>
      <c r="E1015" s="211" t="s">
        <v>2366</v>
      </c>
      <c r="F1015" s="211">
        <v>7212.38</v>
      </c>
      <c r="G1015" s="211">
        <v>0</v>
      </c>
      <c r="H1015" s="204">
        <v>0</v>
      </c>
      <c r="I1015" s="205">
        <f t="shared" si="10"/>
        <v>8654.8559999999998</v>
      </c>
    </row>
    <row r="1016" spans="1:11" hidden="1" x14ac:dyDescent="0.3">
      <c r="A1016" s="211" t="s">
        <v>2367</v>
      </c>
      <c r="B1016" s="211" t="s">
        <v>1423</v>
      </c>
      <c r="C1016" s="211" t="s">
        <v>2361</v>
      </c>
      <c r="D1016" s="199"/>
      <c r="E1016" s="211" t="s">
        <v>2368</v>
      </c>
      <c r="F1016" s="211">
        <v>4860.05</v>
      </c>
      <c r="G1016" s="211">
        <v>0</v>
      </c>
      <c r="H1016" s="204">
        <v>0</v>
      </c>
      <c r="I1016" s="205">
        <f t="shared" si="10"/>
        <v>5832.0599999999995</v>
      </c>
    </row>
    <row r="1017" spans="1:11" hidden="1" x14ac:dyDescent="0.3">
      <c r="A1017" s="211" t="s">
        <v>2369</v>
      </c>
      <c r="B1017" s="211" t="s">
        <v>251</v>
      </c>
      <c r="C1017" s="211" t="s">
        <v>1287</v>
      </c>
      <c r="D1017" s="199"/>
      <c r="E1017" s="211" t="s">
        <v>2370</v>
      </c>
      <c r="F1017" s="211">
        <v>1506.02</v>
      </c>
      <c r="G1017" s="211">
        <v>0</v>
      </c>
      <c r="H1017" s="204">
        <v>0</v>
      </c>
      <c r="I1017" s="205">
        <f t="shared" si="10"/>
        <v>1807.2240000000002</v>
      </c>
    </row>
    <row r="1018" spans="1:11" hidden="1" x14ac:dyDescent="0.3">
      <c r="A1018" s="211" t="s">
        <v>2371</v>
      </c>
      <c r="B1018" s="211" t="s">
        <v>257</v>
      </c>
      <c r="C1018" s="211" t="s">
        <v>1287</v>
      </c>
      <c r="D1018" s="199"/>
      <c r="E1018" s="211" t="s">
        <v>2372</v>
      </c>
      <c r="F1018" s="211">
        <v>1484.25</v>
      </c>
      <c r="G1018" s="211">
        <v>416.7</v>
      </c>
      <c r="H1018" s="204">
        <v>500.04</v>
      </c>
      <c r="I1018" s="205">
        <f t="shared" si="10"/>
        <v>1781.1000000000001</v>
      </c>
    </row>
    <row r="1019" spans="1:11" hidden="1" x14ac:dyDescent="0.3">
      <c r="A1019" s="211" t="s">
        <v>2373</v>
      </c>
      <c r="B1019" s="211" t="s">
        <v>293</v>
      </c>
      <c r="C1019" s="211" t="s">
        <v>2361</v>
      </c>
      <c r="D1019" s="199"/>
      <c r="E1019" s="211" t="s">
        <v>2374</v>
      </c>
      <c r="F1019" s="211">
        <v>1663.81</v>
      </c>
      <c r="G1019" s="211">
        <v>916.7</v>
      </c>
      <c r="H1019" s="204">
        <v>1100.04</v>
      </c>
      <c r="I1019" s="205">
        <f t="shared" si="10"/>
        <v>1996.5720000000001</v>
      </c>
    </row>
    <row r="1020" spans="1:11" hidden="1" x14ac:dyDescent="0.3">
      <c r="A1020" s="211" t="s">
        <v>2375</v>
      </c>
      <c r="B1020" s="211" t="s">
        <v>293</v>
      </c>
      <c r="C1020" s="211" t="s">
        <v>2361</v>
      </c>
      <c r="D1020" s="199"/>
      <c r="E1020" s="211" t="s">
        <v>2376</v>
      </c>
      <c r="F1020" s="211">
        <v>1077.47</v>
      </c>
      <c r="G1020" s="211">
        <v>0</v>
      </c>
      <c r="H1020" s="204">
        <v>0</v>
      </c>
      <c r="I1020" s="205">
        <f t="shared" si="10"/>
        <v>1292.9639999999999</v>
      </c>
    </row>
    <row r="1021" spans="1:11" hidden="1" x14ac:dyDescent="0.3">
      <c r="A1021" s="211" t="s">
        <v>2377</v>
      </c>
      <c r="B1021" s="211" t="s">
        <v>293</v>
      </c>
      <c r="C1021" s="211" t="s">
        <v>2361</v>
      </c>
      <c r="D1021" s="199"/>
      <c r="E1021" s="211" t="s">
        <v>2378</v>
      </c>
      <c r="F1021" s="211">
        <v>2091.39</v>
      </c>
      <c r="G1021" s="211">
        <v>2083.3000000000002</v>
      </c>
      <c r="H1021" s="204">
        <v>2499.96</v>
      </c>
      <c r="I1021" s="205">
        <f t="shared" si="10"/>
        <v>2509.6679999999997</v>
      </c>
    </row>
    <row r="1022" spans="1:11" hidden="1" x14ac:dyDescent="0.3">
      <c r="A1022" s="211" t="s">
        <v>2379</v>
      </c>
      <c r="B1022" s="211" t="s">
        <v>293</v>
      </c>
      <c r="C1022" s="211" t="s">
        <v>2361</v>
      </c>
      <c r="D1022" s="199"/>
      <c r="E1022" s="211" t="s">
        <v>2380</v>
      </c>
      <c r="F1022" s="211">
        <v>164.48</v>
      </c>
      <c r="G1022" s="211">
        <v>12500</v>
      </c>
      <c r="H1022" s="204">
        <v>15000</v>
      </c>
      <c r="I1022" s="205">
        <f t="shared" si="10"/>
        <v>197.376</v>
      </c>
    </row>
    <row r="1023" spans="1:11" hidden="1" x14ac:dyDescent="0.3">
      <c r="A1023" s="211" t="s">
        <v>2381</v>
      </c>
      <c r="B1023" s="211" t="s">
        <v>293</v>
      </c>
      <c r="C1023" s="211" t="s">
        <v>2361</v>
      </c>
      <c r="D1023" s="199"/>
      <c r="E1023" s="211" t="s">
        <v>2382</v>
      </c>
      <c r="F1023" s="211">
        <v>788.26</v>
      </c>
      <c r="G1023" s="211">
        <v>0</v>
      </c>
      <c r="H1023" s="204">
        <v>0</v>
      </c>
      <c r="I1023" s="205">
        <f t="shared" si="10"/>
        <v>945.91199999999992</v>
      </c>
    </row>
    <row r="1024" spans="1:11" hidden="1" x14ac:dyDescent="0.3">
      <c r="A1024" s="211" t="s">
        <v>2383</v>
      </c>
      <c r="B1024" s="211" t="s">
        <v>293</v>
      </c>
      <c r="C1024" s="211" t="s">
        <v>2361</v>
      </c>
      <c r="D1024" s="199"/>
      <c r="E1024" s="211" t="s">
        <v>2384</v>
      </c>
      <c r="F1024" s="211">
        <v>335.47</v>
      </c>
      <c r="G1024" s="211">
        <v>0</v>
      </c>
      <c r="H1024" s="204">
        <v>0</v>
      </c>
      <c r="I1024" s="205">
        <f t="shared" si="10"/>
        <v>402.56400000000008</v>
      </c>
    </row>
    <row r="1025" spans="1:9" hidden="1" x14ac:dyDescent="0.3">
      <c r="A1025" s="211" t="s">
        <v>2385</v>
      </c>
      <c r="B1025" s="211" t="s">
        <v>293</v>
      </c>
      <c r="C1025" s="211" t="s">
        <v>2361</v>
      </c>
      <c r="D1025" s="199"/>
      <c r="E1025" s="211" t="s">
        <v>2386</v>
      </c>
      <c r="F1025" s="211">
        <v>821.57</v>
      </c>
      <c r="G1025" s="211">
        <v>0</v>
      </c>
      <c r="H1025" s="204">
        <v>0</v>
      </c>
      <c r="I1025" s="205">
        <f t="shared" si="10"/>
        <v>985.88400000000013</v>
      </c>
    </row>
    <row r="1026" spans="1:9" hidden="1" x14ac:dyDescent="0.3">
      <c r="A1026" s="211" t="s">
        <v>2387</v>
      </c>
      <c r="B1026" s="211" t="s">
        <v>293</v>
      </c>
      <c r="C1026" s="211" t="s">
        <v>2361</v>
      </c>
      <c r="D1026" s="199"/>
      <c r="E1026" s="211" t="s">
        <v>2388</v>
      </c>
      <c r="F1026" s="211">
        <v>334.05</v>
      </c>
      <c r="G1026" s="211">
        <v>0</v>
      </c>
      <c r="H1026" s="204">
        <v>0</v>
      </c>
      <c r="I1026" s="205">
        <f t="shared" si="10"/>
        <v>400.86</v>
      </c>
    </row>
    <row r="1027" spans="1:9" hidden="1" x14ac:dyDescent="0.3">
      <c r="A1027" s="211" t="s">
        <v>2389</v>
      </c>
      <c r="B1027" s="211" t="s">
        <v>293</v>
      </c>
      <c r="C1027" s="211" t="s">
        <v>2361</v>
      </c>
      <c r="D1027" s="199"/>
      <c r="E1027" s="211" t="s">
        <v>2390</v>
      </c>
      <c r="F1027" s="211">
        <v>394.04</v>
      </c>
      <c r="G1027" s="211">
        <v>0</v>
      </c>
      <c r="H1027" s="204">
        <v>0</v>
      </c>
      <c r="I1027" s="205">
        <f t="shared" si="10"/>
        <v>472.84800000000007</v>
      </c>
    </row>
    <row r="1028" spans="1:9" hidden="1" x14ac:dyDescent="0.3">
      <c r="A1028" s="211" t="s">
        <v>2391</v>
      </c>
      <c r="B1028" s="211" t="s">
        <v>293</v>
      </c>
      <c r="C1028" s="211" t="s">
        <v>2361</v>
      </c>
      <c r="D1028" s="199"/>
      <c r="E1028" s="211" t="s">
        <v>2392</v>
      </c>
      <c r="F1028" s="211">
        <v>376.61</v>
      </c>
      <c r="G1028" s="211">
        <v>0</v>
      </c>
      <c r="H1028" s="204">
        <v>0</v>
      </c>
      <c r="I1028" s="205">
        <f t="shared" si="10"/>
        <v>451.93200000000002</v>
      </c>
    </row>
    <row r="1029" spans="1:9" hidden="1" x14ac:dyDescent="0.3">
      <c r="A1029" s="211" t="s">
        <v>2393</v>
      </c>
      <c r="B1029" s="211" t="s">
        <v>293</v>
      </c>
      <c r="C1029" s="211" t="s">
        <v>2361</v>
      </c>
      <c r="D1029" s="199"/>
      <c r="E1029" s="211" t="s">
        <v>2394</v>
      </c>
      <c r="F1029" s="211">
        <v>862.19</v>
      </c>
      <c r="G1029" s="211">
        <v>0</v>
      </c>
      <c r="H1029" s="204">
        <v>0</v>
      </c>
      <c r="I1029" s="205">
        <f t="shared" si="10"/>
        <v>1034.6280000000002</v>
      </c>
    </row>
    <row r="1030" spans="1:9" hidden="1" x14ac:dyDescent="0.3">
      <c r="A1030" s="211" t="s">
        <v>2395</v>
      </c>
      <c r="B1030" s="211" t="s">
        <v>293</v>
      </c>
      <c r="C1030" s="211" t="s">
        <v>2361</v>
      </c>
      <c r="D1030" s="199"/>
      <c r="E1030" s="211" t="s">
        <v>2396</v>
      </c>
      <c r="F1030" s="211">
        <v>1427.4</v>
      </c>
      <c r="G1030" s="211">
        <v>0</v>
      </c>
      <c r="H1030" s="204">
        <v>0</v>
      </c>
      <c r="I1030" s="205">
        <f t="shared" si="10"/>
        <v>1712.88</v>
      </c>
    </row>
    <row r="1031" spans="1:9" hidden="1" x14ac:dyDescent="0.3">
      <c r="A1031" s="211" t="s">
        <v>2397</v>
      </c>
      <c r="B1031" s="211" t="s">
        <v>293</v>
      </c>
      <c r="C1031" s="211" t="s">
        <v>2361</v>
      </c>
      <c r="D1031" s="199"/>
      <c r="E1031" s="211" t="s">
        <v>2398</v>
      </c>
      <c r="F1031" s="211">
        <v>862.23</v>
      </c>
      <c r="G1031" s="211">
        <v>0</v>
      </c>
      <c r="H1031" s="204">
        <v>0</v>
      </c>
      <c r="I1031" s="205">
        <f t="shared" si="10"/>
        <v>1034.6759999999999</v>
      </c>
    </row>
    <row r="1032" spans="1:9" hidden="1" x14ac:dyDescent="0.3">
      <c r="A1032" s="211" t="s">
        <v>2399</v>
      </c>
      <c r="B1032" s="211" t="s">
        <v>293</v>
      </c>
      <c r="C1032" s="211" t="s">
        <v>2361</v>
      </c>
      <c r="D1032" s="199"/>
      <c r="E1032" s="211" t="s">
        <v>2400</v>
      </c>
      <c r="F1032" s="211">
        <v>294.77</v>
      </c>
      <c r="G1032" s="211">
        <v>0</v>
      </c>
      <c r="H1032" s="204">
        <v>0</v>
      </c>
      <c r="I1032" s="205">
        <f t="shared" si="10"/>
        <v>353.72399999999993</v>
      </c>
    </row>
    <row r="1033" spans="1:9" hidden="1" x14ac:dyDescent="0.3">
      <c r="A1033" s="211" t="s">
        <v>2401</v>
      </c>
      <c r="B1033" s="211" t="s">
        <v>293</v>
      </c>
      <c r="C1033" s="211" t="s">
        <v>2361</v>
      </c>
      <c r="D1033" s="199"/>
      <c r="E1033" s="211" t="s">
        <v>2402</v>
      </c>
      <c r="F1033" s="211">
        <v>284.05</v>
      </c>
      <c r="G1033" s="211">
        <v>0</v>
      </c>
      <c r="H1033" s="204">
        <v>0</v>
      </c>
      <c r="I1033" s="205">
        <f t="shared" si="10"/>
        <v>340.86</v>
      </c>
    </row>
    <row r="1034" spans="1:9" hidden="1" x14ac:dyDescent="0.3">
      <c r="A1034" s="211" t="s">
        <v>2403</v>
      </c>
      <c r="B1034" s="211" t="s">
        <v>293</v>
      </c>
      <c r="C1034" s="211" t="s">
        <v>2361</v>
      </c>
      <c r="D1034" s="199"/>
      <c r="E1034" s="211" t="s">
        <v>2404</v>
      </c>
      <c r="F1034" s="211">
        <v>243.33</v>
      </c>
      <c r="G1034" s="211">
        <v>0</v>
      </c>
      <c r="H1034" s="204">
        <v>0</v>
      </c>
      <c r="I1034" s="205">
        <f t="shared" si="10"/>
        <v>291.99600000000004</v>
      </c>
    </row>
    <row r="1035" spans="1:9" hidden="1" x14ac:dyDescent="0.3">
      <c r="A1035" s="211" t="s">
        <v>2405</v>
      </c>
      <c r="B1035" s="211" t="s">
        <v>293</v>
      </c>
      <c r="C1035" s="211" t="s">
        <v>2361</v>
      </c>
      <c r="D1035" s="199"/>
      <c r="E1035" s="211" t="s">
        <v>2406</v>
      </c>
      <c r="F1035" s="211">
        <v>243.35</v>
      </c>
      <c r="G1035" s="211">
        <v>0</v>
      </c>
      <c r="H1035" s="204">
        <v>0</v>
      </c>
      <c r="I1035" s="205">
        <f t="shared" si="10"/>
        <v>292.02</v>
      </c>
    </row>
    <row r="1036" spans="1:9" hidden="1" x14ac:dyDescent="0.3">
      <c r="A1036" s="211" t="s">
        <v>2407</v>
      </c>
      <c r="B1036" s="211" t="s">
        <v>293</v>
      </c>
      <c r="C1036" s="211" t="s">
        <v>2361</v>
      </c>
      <c r="D1036" s="199"/>
      <c r="E1036" s="211" t="s">
        <v>2408</v>
      </c>
      <c r="F1036" s="211">
        <v>243.36</v>
      </c>
      <c r="G1036" s="211">
        <v>0</v>
      </c>
      <c r="H1036" s="204">
        <v>0</v>
      </c>
      <c r="I1036" s="205">
        <f t="shared" si="10"/>
        <v>292.03200000000004</v>
      </c>
    </row>
    <row r="1037" spans="1:9" hidden="1" x14ac:dyDescent="0.3">
      <c r="A1037" s="211" t="s">
        <v>2409</v>
      </c>
      <c r="B1037" s="211" t="s">
        <v>293</v>
      </c>
      <c r="C1037" s="211" t="s">
        <v>2361</v>
      </c>
      <c r="D1037" s="199"/>
      <c r="E1037" s="211" t="s">
        <v>2410</v>
      </c>
      <c r="F1037" s="211">
        <v>243.33</v>
      </c>
      <c r="G1037" s="211">
        <v>0</v>
      </c>
      <c r="H1037" s="204">
        <v>0</v>
      </c>
      <c r="I1037" s="205">
        <f t="shared" si="10"/>
        <v>291.99600000000004</v>
      </c>
    </row>
    <row r="1038" spans="1:9" hidden="1" x14ac:dyDescent="0.3">
      <c r="A1038" s="211" t="s">
        <v>2411</v>
      </c>
      <c r="B1038" s="211" t="s">
        <v>293</v>
      </c>
      <c r="C1038" s="211" t="s">
        <v>2361</v>
      </c>
      <c r="D1038" s="199"/>
      <c r="E1038" s="211" t="s">
        <v>2412</v>
      </c>
      <c r="F1038" s="211">
        <v>1053.1300000000001</v>
      </c>
      <c r="G1038" s="211">
        <v>0</v>
      </c>
      <c r="H1038" s="204">
        <v>0</v>
      </c>
      <c r="I1038" s="205">
        <f t="shared" si="10"/>
        <v>1263.7560000000003</v>
      </c>
    </row>
    <row r="1039" spans="1:9" hidden="1" x14ac:dyDescent="0.3">
      <c r="A1039" s="211" t="s">
        <v>2413</v>
      </c>
      <c r="B1039" s="211" t="s">
        <v>293</v>
      </c>
      <c r="C1039" s="211" t="s">
        <v>2361</v>
      </c>
      <c r="D1039" s="199"/>
      <c r="E1039" s="211" t="s">
        <v>2414</v>
      </c>
      <c r="F1039" s="211">
        <v>1693.74</v>
      </c>
      <c r="G1039" s="211">
        <v>0</v>
      </c>
      <c r="H1039" s="204">
        <v>0</v>
      </c>
      <c r="I1039" s="205">
        <f t="shared" si="10"/>
        <v>2032.4879999999998</v>
      </c>
    </row>
    <row r="1040" spans="1:9" hidden="1" x14ac:dyDescent="0.3">
      <c r="A1040" s="211" t="s">
        <v>2415</v>
      </c>
      <c r="B1040" s="211" t="s">
        <v>293</v>
      </c>
      <c r="C1040" s="211" t="s">
        <v>2361</v>
      </c>
      <c r="D1040" s="199"/>
      <c r="E1040" s="211" t="s">
        <v>2416</v>
      </c>
      <c r="F1040" s="211">
        <v>284.06</v>
      </c>
      <c r="G1040" s="211">
        <v>0</v>
      </c>
      <c r="H1040" s="204">
        <v>0</v>
      </c>
      <c r="I1040" s="205">
        <f t="shared" si="10"/>
        <v>340.87199999999996</v>
      </c>
    </row>
    <row r="1041" spans="1:11" hidden="1" x14ac:dyDescent="0.3">
      <c r="A1041" s="211" t="s">
        <v>2417</v>
      </c>
      <c r="B1041" s="211" t="s">
        <v>293</v>
      </c>
      <c r="C1041" s="211" t="s">
        <v>2361</v>
      </c>
      <c r="D1041" s="199"/>
      <c r="E1041" s="211" t="s">
        <v>2418</v>
      </c>
      <c r="F1041" s="211">
        <v>387.13</v>
      </c>
      <c r="G1041" s="211">
        <v>0</v>
      </c>
      <c r="H1041" s="204">
        <v>0</v>
      </c>
      <c r="I1041" s="205">
        <f t="shared" si="10"/>
        <v>464.55600000000004</v>
      </c>
    </row>
    <row r="1042" spans="1:11" hidden="1" x14ac:dyDescent="0.3">
      <c r="A1042" s="211" t="s">
        <v>2419</v>
      </c>
      <c r="B1042" s="211" t="s">
        <v>293</v>
      </c>
      <c r="C1042" s="211" t="s">
        <v>2361</v>
      </c>
      <c r="D1042" s="199"/>
      <c r="E1042" s="211" t="s">
        <v>2420</v>
      </c>
      <c r="F1042" s="211">
        <v>243.34</v>
      </c>
      <c r="G1042" s="211">
        <v>0</v>
      </c>
      <c r="H1042" s="204">
        <v>0</v>
      </c>
      <c r="I1042" s="205">
        <f t="shared" si="10"/>
        <v>292.00799999999998</v>
      </c>
    </row>
    <row r="1043" spans="1:11" hidden="1" x14ac:dyDescent="0.3">
      <c r="A1043" s="211" t="s">
        <v>2421</v>
      </c>
      <c r="B1043" s="211" t="s">
        <v>293</v>
      </c>
      <c r="C1043" s="211" t="s">
        <v>2361</v>
      </c>
      <c r="D1043" s="199"/>
      <c r="E1043" s="211" t="s">
        <v>2422</v>
      </c>
      <c r="F1043" s="211">
        <v>777.85</v>
      </c>
      <c r="G1043" s="211">
        <v>0</v>
      </c>
      <c r="H1043" s="204">
        <v>0</v>
      </c>
      <c r="I1043" s="205">
        <f t="shared" si="10"/>
        <v>933.42</v>
      </c>
    </row>
    <row r="1044" spans="1:11" hidden="1" x14ac:dyDescent="0.3">
      <c r="A1044" s="211" t="s">
        <v>2423</v>
      </c>
      <c r="B1044" s="211" t="s">
        <v>293</v>
      </c>
      <c r="C1044" s="211" t="s">
        <v>2361</v>
      </c>
      <c r="D1044" s="199"/>
      <c r="E1044" s="211" t="s">
        <v>2424</v>
      </c>
      <c r="F1044" s="211">
        <v>777.85</v>
      </c>
      <c r="G1044" s="211">
        <v>0</v>
      </c>
      <c r="H1044" s="204">
        <v>0</v>
      </c>
      <c r="I1044" s="205">
        <f t="shared" si="10"/>
        <v>933.42</v>
      </c>
    </row>
    <row r="1045" spans="1:11" hidden="1" x14ac:dyDescent="0.3">
      <c r="A1045" s="211" t="s">
        <v>2425</v>
      </c>
      <c r="B1045" s="211" t="s">
        <v>293</v>
      </c>
      <c r="C1045" s="211" t="s">
        <v>2361</v>
      </c>
      <c r="D1045" s="199"/>
      <c r="E1045" s="211" t="s">
        <v>2426</v>
      </c>
      <c r="F1045" s="211">
        <v>317.31</v>
      </c>
      <c r="G1045" s="211">
        <v>0</v>
      </c>
      <c r="H1045" s="204">
        <v>0</v>
      </c>
      <c r="I1045" s="205">
        <f t="shared" si="10"/>
        <v>380.77200000000005</v>
      </c>
    </row>
    <row r="1046" spans="1:11" hidden="1" x14ac:dyDescent="0.3">
      <c r="A1046" s="211" t="s">
        <v>2427</v>
      </c>
      <c r="B1046" s="211" t="s">
        <v>293</v>
      </c>
      <c r="C1046" s="211" t="s">
        <v>2361</v>
      </c>
      <c r="D1046" s="199"/>
      <c r="E1046" s="211" t="s">
        <v>2428</v>
      </c>
      <c r="F1046" s="211">
        <v>519.70000000000005</v>
      </c>
      <c r="G1046" s="211">
        <v>0</v>
      </c>
      <c r="H1046" s="204">
        <v>0</v>
      </c>
      <c r="I1046" s="205">
        <f t="shared" si="10"/>
        <v>623.6400000000001</v>
      </c>
    </row>
    <row r="1047" spans="1:11" hidden="1" x14ac:dyDescent="0.3">
      <c r="A1047" s="211" t="s">
        <v>2429</v>
      </c>
      <c r="B1047" s="211" t="s">
        <v>293</v>
      </c>
      <c r="C1047" s="211" t="s">
        <v>2361</v>
      </c>
      <c r="D1047" s="199"/>
      <c r="E1047" s="211" t="s">
        <v>2430</v>
      </c>
      <c r="F1047" s="211">
        <v>519.69000000000005</v>
      </c>
      <c r="G1047" s="211">
        <v>0</v>
      </c>
      <c r="H1047" s="204">
        <v>0</v>
      </c>
      <c r="I1047" s="205">
        <f t="shared" si="10"/>
        <v>623.62800000000016</v>
      </c>
    </row>
    <row r="1048" spans="1:11" hidden="1" x14ac:dyDescent="0.3">
      <c r="A1048" s="211" t="s">
        <v>2431</v>
      </c>
      <c r="B1048" s="211" t="s">
        <v>293</v>
      </c>
      <c r="C1048" s="211" t="s">
        <v>2361</v>
      </c>
      <c r="D1048" s="199"/>
      <c r="E1048" s="211" t="s">
        <v>2432</v>
      </c>
      <c r="F1048" s="211">
        <v>519.70000000000005</v>
      </c>
      <c r="G1048" s="211">
        <v>0</v>
      </c>
      <c r="H1048" s="204">
        <v>0</v>
      </c>
      <c r="I1048" s="205">
        <f t="shared" si="10"/>
        <v>623.6400000000001</v>
      </c>
    </row>
    <row r="1049" spans="1:11" hidden="1" x14ac:dyDescent="0.3">
      <c r="A1049" s="211" t="s">
        <v>2433</v>
      </c>
      <c r="B1049" s="211" t="s">
        <v>293</v>
      </c>
      <c r="C1049" s="211" t="s">
        <v>2361</v>
      </c>
      <c r="D1049" s="199"/>
      <c r="E1049" s="211" t="s">
        <v>2434</v>
      </c>
      <c r="F1049" s="211">
        <v>519.71</v>
      </c>
      <c r="G1049" s="211">
        <v>0</v>
      </c>
      <c r="H1049" s="204">
        <v>0</v>
      </c>
      <c r="I1049" s="205">
        <f t="shared" si="10"/>
        <v>623.65200000000004</v>
      </c>
    </row>
    <row r="1050" spans="1:11" hidden="1" x14ac:dyDescent="0.3">
      <c r="A1050" s="211" t="s">
        <v>2435</v>
      </c>
      <c r="B1050" s="211" t="s">
        <v>293</v>
      </c>
      <c r="C1050" s="211" t="s">
        <v>2361</v>
      </c>
      <c r="D1050" s="199"/>
      <c r="E1050" s="211" t="s">
        <v>2436</v>
      </c>
      <c r="F1050" s="211">
        <v>2696.46</v>
      </c>
      <c r="G1050" s="211">
        <v>0</v>
      </c>
      <c r="H1050" s="204">
        <v>0</v>
      </c>
      <c r="I1050" s="205">
        <f t="shared" si="10"/>
        <v>3235.7520000000004</v>
      </c>
    </row>
    <row r="1051" spans="1:11" hidden="1" x14ac:dyDescent="0.3">
      <c r="A1051" s="211" t="s">
        <v>2437</v>
      </c>
      <c r="B1051" s="211" t="s">
        <v>280</v>
      </c>
      <c r="C1051" s="211" t="s">
        <v>2361</v>
      </c>
      <c r="D1051" s="199"/>
      <c r="E1051" s="256" t="s">
        <v>2438</v>
      </c>
      <c r="F1051" s="211">
        <v>4354.9399999999996</v>
      </c>
      <c r="G1051" s="211">
        <v>2083.3000000000002</v>
      </c>
      <c r="H1051" s="204">
        <v>2499.96</v>
      </c>
      <c r="I1051" s="205">
        <f t="shared" si="10"/>
        <v>5225.9279999999999</v>
      </c>
      <c r="K1051" s="259">
        <f>SUM(I1012:I1051)</f>
        <v>54307.247999999992</v>
      </c>
    </row>
    <row r="1052" spans="1:11" hidden="1" x14ac:dyDescent="0.3">
      <c r="A1052" s="211" t="s">
        <v>2439</v>
      </c>
      <c r="B1052" s="211" t="s">
        <v>293</v>
      </c>
      <c r="C1052" s="211" t="s">
        <v>1273</v>
      </c>
      <c r="D1052" s="199"/>
      <c r="E1052" s="211" t="s">
        <v>2440</v>
      </c>
      <c r="F1052" s="211">
        <v>0</v>
      </c>
      <c r="G1052" s="211">
        <v>19615</v>
      </c>
      <c r="H1052" s="204">
        <v>23538</v>
      </c>
      <c r="I1052" s="205">
        <f t="shared" si="10"/>
        <v>0</v>
      </c>
    </row>
    <row r="1053" spans="1:11" hidden="1" x14ac:dyDescent="0.3">
      <c r="A1053" s="211" t="s">
        <v>2441</v>
      </c>
      <c r="B1053" s="211" t="s">
        <v>402</v>
      </c>
      <c r="C1053" s="211" t="s">
        <v>1478</v>
      </c>
      <c r="D1053" s="199"/>
      <c r="E1053" s="211" t="s">
        <v>2442</v>
      </c>
      <c r="F1053" s="211">
        <v>1013.65</v>
      </c>
      <c r="G1053" s="211">
        <v>0</v>
      </c>
      <c r="H1053" s="204">
        <v>0</v>
      </c>
      <c r="I1053" s="205">
        <f t="shared" si="10"/>
        <v>1216.3799999999999</v>
      </c>
    </row>
    <row r="1054" spans="1:11" hidden="1" x14ac:dyDescent="0.3">
      <c r="A1054" s="211" t="s">
        <v>2443</v>
      </c>
      <c r="B1054" s="211" t="s">
        <v>402</v>
      </c>
      <c r="C1054" s="211" t="s">
        <v>1478</v>
      </c>
      <c r="D1054" s="199"/>
      <c r="E1054" s="211" t="s">
        <v>2444</v>
      </c>
      <c r="F1054" s="211">
        <v>7524.98</v>
      </c>
      <c r="G1054" s="211">
        <v>6500</v>
      </c>
      <c r="H1054" s="204">
        <v>7800</v>
      </c>
      <c r="I1054" s="205">
        <f t="shared" si="10"/>
        <v>9029.9759999999987</v>
      </c>
    </row>
    <row r="1055" spans="1:11" hidden="1" x14ac:dyDescent="0.3">
      <c r="A1055" s="211" t="s">
        <v>2445</v>
      </c>
      <c r="B1055" s="211" t="s">
        <v>402</v>
      </c>
      <c r="C1055" s="211" t="s">
        <v>1273</v>
      </c>
      <c r="D1055" s="199"/>
      <c r="E1055" s="211" t="s">
        <v>2446</v>
      </c>
      <c r="F1055" s="211">
        <v>129.5</v>
      </c>
      <c r="G1055" s="211">
        <v>0</v>
      </c>
      <c r="H1055" s="204">
        <v>0</v>
      </c>
      <c r="I1055" s="205">
        <f t="shared" si="10"/>
        <v>155.39999999999998</v>
      </c>
    </row>
    <row r="1056" spans="1:11" hidden="1" x14ac:dyDescent="0.3">
      <c r="A1056" s="211" t="s">
        <v>2447</v>
      </c>
      <c r="B1056" s="211" t="s">
        <v>2448</v>
      </c>
      <c r="C1056" s="211" t="s">
        <v>1284</v>
      </c>
      <c r="D1056" s="199"/>
      <c r="E1056" s="211" t="s">
        <v>2449</v>
      </c>
      <c r="F1056" s="211">
        <v>41583.86</v>
      </c>
      <c r="G1056" s="211">
        <v>0</v>
      </c>
      <c r="H1056" s="204">
        <v>0</v>
      </c>
      <c r="I1056" s="225">
        <f t="shared" si="10"/>
        <v>49900.632000000005</v>
      </c>
    </row>
    <row r="1057" spans="1:9" hidden="1" x14ac:dyDescent="0.3">
      <c r="A1057" s="211" t="s">
        <v>2450</v>
      </c>
      <c r="B1057" s="211" t="s">
        <v>402</v>
      </c>
      <c r="C1057" s="211" t="s">
        <v>1287</v>
      </c>
      <c r="D1057" s="199"/>
      <c r="E1057" s="211" t="s">
        <v>2451</v>
      </c>
      <c r="F1057" s="211">
        <v>9627.08</v>
      </c>
      <c r="G1057" s="211">
        <v>6250</v>
      </c>
      <c r="H1057" s="204">
        <v>7500</v>
      </c>
      <c r="I1057" s="205">
        <f t="shared" si="10"/>
        <v>11552.495999999999</v>
      </c>
    </row>
    <row r="1058" spans="1:9" hidden="1" x14ac:dyDescent="0.3">
      <c r="A1058" s="211" t="s">
        <v>2452</v>
      </c>
      <c r="B1058" s="211" t="s">
        <v>402</v>
      </c>
      <c r="C1058" s="211" t="s">
        <v>1287</v>
      </c>
      <c r="D1058" s="199"/>
      <c r="E1058" s="211" t="s">
        <v>2453</v>
      </c>
      <c r="F1058" s="211">
        <v>3470.98</v>
      </c>
      <c r="G1058" s="211">
        <v>2500</v>
      </c>
      <c r="H1058" s="204">
        <v>3000</v>
      </c>
      <c r="I1058" s="205">
        <f t="shared" si="10"/>
        <v>4165.1760000000004</v>
      </c>
    </row>
    <row r="1059" spans="1:9" hidden="1" x14ac:dyDescent="0.3">
      <c r="A1059" s="211" t="s">
        <v>2454</v>
      </c>
      <c r="B1059" s="211" t="s">
        <v>251</v>
      </c>
      <c r="C1059" s="211" t="s">
        <v>1287</v>
      </c>
      <c r="D1059" s="199"/>
      <c r="E1059" s="211" t="s">
        <v>2455</v>
      </c>
      <c r="F1059" s="211">
        <v>1183.3399999999999</v>
      </c>
      <c r="G1059" s="211">
        <v>2500</v>
      </c>
      <c r="H1059" s="204">
        <v>3000</v>
      </c>
      <c r="I1059" s="205">
        <f t="shared" si="10"/>
        <v>1420.0079999999998</v>
      </c>
    </row>
    <row r="1060" spans="1:9" hidden="1" x14ac:dyDescent="0.3">
      <c r="A1060" s="211" t="s">
        <v>2456</v>
      </c>
      <c r="B1060" s="211" t="s">
        <v>402</v>
      </c>
      <c r="C1060" s="211" t="s">
        <v>1287</v>
      </c>
      <c r="D1060" s="199"/>
      <c r="E1060" s="211" t="s">
        <v>2457</v>
      </c>
      <c r="F1060" s="211">
        <v>4386.91</v>
      </c>
      <c r="G1060" s="211">
        <v>5833.3</v>
      </c>
      <c r="H1060" s="204">
        <v>6999.9600000000009</v>
      </c>
      <c r="I1060" s="205">
        <f t="shared" si="10"/>
        <v>5264.2919999999995</v>
      </c>
    </row>
    <row r="1061" spans="1:9" hidden="1" x14ac:dyDescent="0.3">
      <c r="A1061" s="211" t="s">
        <v>2458</v>
      </c>
      <c r="B1061" s="211" t="s">
        <v>402</v>
      </c>
      <c r="C1061" s="211" t="s">
        <v>1287</v>
      </c>
      <c r="D1061" s="199"/>
      <c r="E1061" s="211" t="s">
        <v>2459</v>
      </c>
      <c r="F1061" s="211">
        <v>1892.75</v>
      </c>
      <c r="G1061" s="211">
        <v>4166.7</v>
      </c>
      <c r="H1061" s="204">
        <v>5000.0399999999991</v>
      </c>
      <c r="I1061" s="205">
        <f t="shared" si="10"/>
        <v>2271.3000000000002</v>
      </c>
    </row>
    <row r="1062" spans="1:9" hidden="1" x14ac:dyDescent="0.3">
      <c r="A1062" s="211" t="s">
        <v>2460</v>
      </c>
      <c r="B1062" s="211" t="s">
        <v>2448</v>
      </c>
      <c r="C1062" s="211" t="s">
        <v>1287</v>
      </c>
      <c r="D1062" s="199"/>
      <c r="E1062" s="211" t="s">
        <v>2461</v>
      </c>
      <c r="F1062" s="211">
        <v>8375</v>
      </c>
      <c r="G1062" s="211">
        <v>9000</v>
      </c>
      <c r="H1062" s="204">
        <v>10800</v>
      </c>
      <c r="I1062" s="205">
        <f t="shared" si="10"/>
        <v>10050</v>
      </c>
    </row>
    <row r="1063" spans="1:9" hidden="1" x14ac:dyDescent="0.3">
      <c r="A1063" s="211" t="s">
        <v>2462</v>
      </c>
      <c r="B1063" s="211" t="s">
        <v>402</v>
      </c>
      <c r="C1063" s="211" t="s">
        <v>1284</v>
      </c>
      <c r="D1063" s="199"/>
      <c r="E1063" s="211" t="s">
        <v>2463</v>
      </c>
      <c r="F1063" s="211">
        <v>250</v>
      </c>
      <c r="G1063" s="211">
        <v>250</v>
      </c>
      <c r="H1063" s="204">
        <v>300</v>
      </c>
      <c r="I1063" s="205">
        <f t="shared" si="10"/>
        <v>300</v>
      </c>
    </row>
    <row r="1064" spans="1:9" hidden="1" x14ac:dyDescent="0.3">
      <c r="A1064" s="211" t="s">
        <v>2464</v>
      </c>
      <c r="B1064" s="211" t="s">
        <v>2448</v>
      </c>
      <c r="C1064" s="211" t="s">
        <v>1284</v>
      </c>
      <c r="D1064" s="199"/>
      <c r="E1064" s="211" t="s">
        <v>2465</v>
      </c>
      <c r="F1064" s="211">
        <v>225</v>
      </c>
      <c r="G1064" s="211">
        <v>250</v>
      </c>
      <c r="H1064" s="204">
        <v>300</v>
      </c>
      <c r="I1064" s="205">
        <f t="shared" si="10"/>
        <v>270</v>
      </c>
    </row>
    <row r="1065" spans="1:9" hidden="1" x14ac:dyDescent="0.3">
      <c r="A1065" s="211" t="s">
        <v>2466</v>
      </c>
      <c r="B1065" s="211" t="s">
        <v>2448</v>
      </c>
      <c r="C1065" s="211" t="s">
        <v>1287</v>
      </c>
      <c r="D1065" s="199"/>
      <c r="E1065" s="211" t="s">
        <v>2467</v>
      </c>
      <c r="F1065" s="211">
        <v>1045</v>
      </c>
      <c r="G1065" s="211">
        <v>1750</v>
      </c>
      <c r="H1065" s="204">
        <v>2100</v>
      </c>
      <c r="I1065" s="205">
        <f t="shared" ref="I1065:I1079" si="11">+F1065/10*12</f>
        <v>1254</v>
      </c>
    </row>
    <row r="1066" spans="1:9" hidden="1" x14ac:dyDescent="0.3">
      <c r="A1066" s="211" t="s">
        <v>2468</v>
      </c>
      <c r="B1066" s="211" t="s">
        <v>402</v>
      </c>
      <c r="C1066" s="211" t="s">
        <v>1287</v>
      </c>
      <c r="D1066" s="199"/>
      <c r="E1066" s="211" t="s">
        <v>2469</v>
      </c>
      <c r="F1066" s="211">
        <v>0</v>
      </c>
      <c r="G1066" s="211">
        <v>250</v>
      </c>
      <c r="H1066" s="204">
        <v>300</v>
      </c>
      <c r="I1066" s="205">
        <f t="shared" si="11"/>
        <v>0</v>
      </c>
    </row>
    <row r="1067" spans="1:9" hidden="1" x14ac:dyDescent="0.3">
      <c r="A1067" s="211" t="s">
        <v>2470</v>
      </c>
      <c r="B1067" s="211" t="s">
        <v>402</v>
      </c>
      <c r="C1067" s="211" t="s">
        <v>1287</v>
      </c>
      <c r="D1067" s="199"/>
      <c r="E1067" s="211" t="s">
        <v>2471</v>
      </c>
      <c r="F1067" s="211">
        <v>0</v>
      </c>
      <c r="G1067" s="211">
        <v>250</v>
      </c>
      <c r="H1067" s="204">
        <v>300</v>
      </c>
      <c r="I1067" s="205">
        <f t="shared" si="11"/>
        <v>0</v>
      </c>
    </row>
    <row r="1068" spans="1:9" hidden="1" x14ac:dyDescent="0.3">
      <c r="A1068" s="211" t="s">
        <v>2472</v>
      </c>
      <c r="B1068" s="211" t="s">
        <v>402</v>
      </c>
      <c r="C1068" s="211" t="s">
        <v>1284</v>
      </c>
      <c r="D1068" s="199"/>
      <c r="E1068" s="211" t="s">
        <v>2473</v>
      </c>
      <c r="F1068" s="211">
        <v>1100</v>
      </c>
      <c r="G1068" s="211">
        <v>1000</v>
      </c>
      <c r="H1068" s="204">
        <v>1200</v>
      </c>
      <c r="I1068" s="205">
        <f t="shared" si="11"/>
        <v>1320</v>
      </c>
    </row>
    <row r="1069" spans="1:9" hidden="1" x14ac:dyDescent="0.3">
      <c r="A1069" s="211" t="s">
        <v>2474</v>
      </c>
      <c r="B1069" s="211" t="s">
        <v>402</v>
      </c>
      <c r="C1069" s="211" t="s">
        <v>1287</v>
      </c>
      <c r="D1069" s="199"/>
      <c r="E1069" s="211" t="s">
        <v>2475</v>
      </c>
      <c r="F1069" s="211">
        <v>1250</v>
      </c>
      <c r="G1069" s="211">
        <v>1250</v>
      </c>
      <c r="H1069" s="204">
        <v>1500</v>
      </c>
      <c r="I1069" s="205">
        <f t="shared" si="11"/>
        <v>1500</v>
      </c>
    </row>
    <row r="1070" spans="1:9" hidden="1" x14ac:dyDescent="0.3">
      <c r="A1070" s="211" t="s">
        <v>2476</v>
      </c>
      <c r="B1070" s="211" t="s">
        <v>402</v>
      </c>
      <c r="C1070" s="211" t="s">
        <v>1284</v>
      </c>
      <c r="D1070" s="199"/>
      <c r="E1070" s="211" t="s">
        <v>2477</v>
      </c>
      <c r="F1070" s="211">
        <v>500</v>
      </c>
      <c r="G1070" s="211">
        <v>500</v>
      </c>
      <c r="H1070" s="204">
        <v>600</v>
      </c>
      <c r="I1070" s="205">
        <f t="shared" si="11"/>
        <v>600</v>
      </c>
    </row>
    <row r="1071" spans="1:9" hidden="1" x14ac:dyDescent="0.3">
      <c r="A1071" s="211" t="s">
        <v>2478</v>
      </c>
      <c r="B1071" s="211" t="s">
        <v>402</v>
      </c>
      <c r="C1071" s="211" t="s">
        <v>1287</v>
      </c>
      <c r="D1071" s="199"/>
      <c r="E1071" s="211" t="s">
        <v>2479</v>
      </c>
      <c r="F1071" s="211">
        <v>2575</v>
      </c>
      <c r="G1071" s="211">
        <v>2000</v>
      </c>
      <c r="H1071" s="204">
        <v>2400</v>
      </c>
      <c r="I1071" s="205">
        <f t="shared" si="11"/>
        <v>3090</v>
      </c>
    </row>
    <row r="1072" spans="1:9" hidden="1" x14ac:dyDescent="0.3">
      <c r="A1072" s="211" t="s">
        <v>2480</v>
      </c>
      <c r="B1072" s="211" t="s">
        <v>303</v>
      </c>
      <c r="C1072" s="211" t="s">
        <v>1287</v>
      </c>
      <c r="D1072" s="199"/>
      <c r="E1072" s="211" t="s">
        <v>2481</v>
      </c>
      <c r="F1072" s="211">
        <v>0</v>
      </c>
      <c r="G1072" s="211">
        <v>250</v>
      </c>
      <c r="H1072" s="204">
        <v>300</v>
      </c>
      <c r="I1072" s="205">
        <f t="shared" si="11"/>
        <v>0</v>
      </c>
    </row>
    <row r="1073" spans="1:12" hidden="1" x14ac:dyDescent="0.3">
      <c r="A1073" s="211" t="s">
        <v>2482</v>
      </c>
      <c r="B1073" s="211" t="s">
        <v>402</v>
      </c>
      <c r="C1073" s="211" t="s">
        <v>1287</v>
      </c>
      <c r="D1073" s="199"/>
      <c r="E1073" s="256" t="s">
        <v>2483</v>
      </c>
      <c r="F1073" s="211">
        <v>1475</v>
      </c>
      <c r="G1073" s="211">
        <v>1500</v>
      </c>
      <c r="H1073" s="204">
        <v>1800</v>
      </c>
      <c r="I1073" s="205">
        <f t="shared" si="11"/>
        <v>1770</v>
      </c>
      <c r="K1073" s="259">
        <f>SUM(I1053:I1073)</f>
        <v>105129.66000000002</v>
      </c>
      <c r="L1073" t="s">
        <v>2646</v>
      </c>
    </row>
    <row r="1074" spans="1:12" hidden="1" x14ac:dyDescent="0.3">
      <c r="A1074" s="211" t="s">
        <v>2484</v>
      </c>
      <c r="B1074" s="211" t="s">
        <v>243</v>
      </c>
      <c r="C1074" s="211" t="s">
        <v>244</v>
      </c>
      <c r="D1074" s="199"/>
      <c r="E1074" s="211" t="s">
        <v>2485</v>
      </c>
      <c r="F1074" s="211">
        <v>-363020</v>
      </c>
      <c r="G1074" s="211">
        <v>-363016.7</v>
      </c>
      <c r="H1074" s="204">
        <v>-435620.04</v>
      </c>
      <c r="I1074" s="205">
        <f t="shared" si="11"/>
        <v>-435624</v>
      </c>
      <c r="K1074" t="s">
        <v>2486</v>
      </c>
    </row>
    <row r="1075" spans="1:12" hidden="1" x14ac:dyDescent="0.3">
      <c r="A1075" s="211" t="s">
        <v>2487</v>
      </c>
      <c r="B1075" s="211" t="s">
        <v>243</v>
      </c>
      <c r="C1075" s="211" t="s">
        <v>284</v>
      </c>
      <c r="D1075" s="199"/>
      <c r="E1075" s="211" t="s">
        <v>2488</v>
      </c>
      <c r="F1075" s="211">
        <v>229391.7</v>
      </c>
      <c r="G1075" s="211">
        <v>229391.7</v>
      </c>
      <c r="H1075" s="204">
        <v>275270.04000000004</v>
      </c>
      <c r="I1075" s="205">
        <f t="shared" si="11"/>
        <v>275270.04000000004</v>
      </c>
      <c r="K1075" t="s">
        <v>2489</v>
      </c>
    </row>
    <row r="1076" spans="1:12" hidden="1" x14ac:dyDescent="0.3">
      <c r="A1076" s="211" t="s">
        <v>2490</v>
      </c>
      <c r="B1076" s="211" t="s">
        <v>243</v>
      </c>
      <c r="C1076" s="211" t="s">
        <v>284</v>
      </c>
      <c r="D1076" s="199"/>
      <c r="E1076" s="211" t="s">
        <v>2491</v>
      </c>
      <c r="F1076" s="211">
        <v>133622</v>
      </c>
      <c r="G1076" s="211">
        <v>133625</v>
      </c>
      <c r="H1076" s="204">
        <v>160350</v>
      </c>
      <c r="I1076" s="205">
        <f t="shared" si="11"/>
        <v>160346.40000000002</v>
      </c>
      <c r="K1076" t="s">
        <v>2489</v>
      </c>
    </row>
    <row r="1077" spans="1:12" hidden="1" x14ac:dyDescent="0.3">
      <c r="A1077" s="211" t="s">
        <v>2492</v>
      </c>
      <c r="B1077" s="211" t="s">
        <v>287</v>
      </c>
      <c r="C1077" s="211" t="s">
        <v>284</v>
      </c>
      <c r="D1077" s="199"/>
      <c r="E1077" s="211" t="s">
        <v>2493</v>
      </c>
      <c r="F1077" s="211">
        <v>1899989.88</v>
      </c>
      <c r="G1077" s="211">
        <v>145740.70000000001</v>
      </c>
      <c r="H1077" s="204">
        <v>174888.84000000003</v>
      </c>
      <c r="I1077" s="205">
        <f t="shared" si="11"/>
        <v>2279987.8559999997</v>
      </c>
    </row>
    <row r="1078" spans="1:12" hidden="1" x14ac:dyDescent="0.3">
      <c r="A1078" s="211" t="s">
        <v>2494</v>
      </c>
      <c r="B1078" s="211" t="s">
        <v>287</v>
      </c>
      <c r="C1078" s="211" t="s">
        <v>284</v>
      </c>
      <c r="D1078" s="199"/>
      <c r="E1078" s="211" t="s">
        <v>2495</v>
      </c>
      <c r="F1078" s="211">
        <v>-5157.71</v>
      </c>
      <c r="G1078" s="211">
        <v>139274</v>
      </c>
      <c r="H1078" s="204">
        <v>167128.79999999999</v>
      </c>
      <c r="I1078" s="205">
        <f t="shared" si="11"/>
        <v>-6189.2519999999995</v>
      </c>
    </row>
    <row r="1079" spans="1:12" hidden="1" x14ac:dyDescent="0.3">
      <c r="A1079" s="211" t="s">
        <v>2496</v>
      </c>
      <c r="B1079" s="211" t="s">
        <v>287</v>
      </c>
      <c r="C1079" s="211" t="s">
        <v>284</v>
      </c>
      <c r="D1079" s="199"/>
      <c r="E1079" s="211" t="s">
        <v>2497</v>
      </c>
      <c r="F1079" s="211">
        <v>-450</v>
      </c>
      <c r="G1079" s="211">
        <v>133090.70000000001</v>
      </c>
      <c r="H1079" s="204">
        <v>159708.84000000003</v>
      </c>
      <c r="I1079" s="205">
        <f t="shared" si="11"/>
        <v>-540</v>
      </c>
    </row>
    <row r="1080" spans="1:12" hidden="1" x14ac:dyDescent="0.3">
      <c r="A1080" s="211" t="s">
        <v>2498</v>
      </c>
      <c r="B1080" s="211" t="s">
        <v>287</v>
      </c>
      <c r="C1080" s="211" t="s">
        <v>284</v>
      </c>
      <c r="D1080" s="199"/>
      <c r="E1080" s="211" t="s">
        <v>2499</v>
      </c>
      <c r="F1080" s="211">
        <v>557.98</v>
      </c>
      <c r="G1080" s="211">
        <v>135582.29999999999</v>
      </c>
      <c r="H1080" s="204">
        <v>162698.76</v>
      </c>
      <c r="I1080" s="205">
        <f t="shared" ref="I1080:I1085" si="12">+H1080</f>
        <v>162698.76</v>
      </c>
    </row>
    <row r="1081" spans="1:12" hidden="1" x14ac:dyDescent="0.3">
      <c r="A1081" s="211" t="s">
        <v>2500</v>
      </c>
      <c r="B1081" s="211" t="s">
        <v>287</v>
      </c>
      <c r="C1081" s="211" t="s">
        <v>284</v>
      </c>
      <c r="D1081" s="199"/>
      <c r="E1081" s="211" t="s">
        <v>2501</v>
      </c>
      <c r="F1081" s="211">
        <v>0</v>
      </c>
      <c r="G1081" s="211">
        <v>195458</v>
      </c>
      <c r="H1081" s="204">
        <v>234549.59999999998</v>
      </c>
      <c r="I1081" s="205">
        <f t="shared" si="12"/>
        <v>234549.59999999998</v>
      </c>
    </row>
    <row r="1082" spans="1:12" hidden="1" x14ac:dyDescent="0.3">
      <c r="A1082" s="211" t="s">
        <v>2502</v>
      </c>
      <c r="B1082" s="211" t="s">
        <v>287</v>
      </c>
      <c r="C1082" s="211" t="s">
        <v>284</v>
      </c>
      <c r="D1082" s="199"/>
      <c r="E1082" s="211" t="s">
        <v>2503</v>
      </c>
      <c r="F1082" s="211">
        <v>1300</v>
      </c>
      <c r="G1082" s="211">
        <v>707044.8</v>
      </c>
      <c r="H1082" s="204">
        <v>848453.76000000013</v>
      </c>
      <c r="I1082" s="205">
        <f>+H1082</f>
        <v>848453.76000000013</v>
      </c>
    </row>
    <row r="1083" spans="1:12" hidden="1" x14ac:dyDescent="0.3">
      <c r="A1083" s="211" t="s">
        <v>2504</v>
      </c>
      <c r="B1083" s="211" t="s">
        <v>287</v>
      </c>
      <c r="C1083" s="211" t="s">
        <v>284</v>
      </c>
      <c r="D1083" s="199"/>
      <c r="E1083" s="211" t="s">
        <v>2505</v>
      </c>
      <c r="F1083" s="211">
        <v>-1910</v>
      </c>
      <c r="G1083" s="211">
        <v>385044</v>
      </c>
      <c r="H1083" s="204">
        <v>462052.80000000005</v>
      </c>
      <c r="I1083" s="205">
        <f>+F1083/10*12</f>
        <v>-2292</v>
      </c>
    </row>
    <row r="1084" spans="1:12" hidden="1" x14ac:dyDescent="0.3">
      <c r="A1084" s="211" t="s">
        <v>2506</v>
      </c>
      <c r="B1084" s="211" t="s">
        <v>287</v>
      </c>
      <c r="C1084" s="211" t="s">
        <v>284</v>
      </c>
      <c r="D1084" s="199"/>
      <c r="E1084" s="211" t="s">
        <v>2507</v>
      </c>
      <c r="F1084" s="211">
        <v>0</v>
      </c>
      <c r="G1084" s="211">
        <v>135715.70000000001</v>
      </c>
      <c r="H1084" s="204">
        <v>162858.84000000003</v>
      </c>
      <c r="I1084" s="205">
        <f>+F1084/10*12</f>
        <v>0</v>
      </c>
    </row>
    <row r="1085" spans="1:12" hidden="1" x14ac:dyDescent="0.3">
      <c r="A1085" s="211" t="s">
        <v>2508</v>
      </c>
      <c r="B1085" s="211" t="s">
        <v>287</v>
      </c>
      <c r="C1085" s="211" t="s">
        <v>284</v>
      </c>
      <c r="D1085" s="199"/>
      <c r="E1085" s="211" t="s">
        <v>2509</v>
      </c>
      <c r="F1085" s="211">
        <v>98</v>
      </c>
      <c r="G1085" s="211">
        <v>132274</v>
      </c>
      <c r="H1085" s="204">
        <v>158728.79999999999</v>
      </c>
      <c r="I1085" s="205">
        <f t="shared" si="12"/>
        <v>158728.79999999999</v>
      </c>
    </row>
    <row r="1086" spans="1:12" hidden="1" x14ac:dyDescent="0.3">
      <c r="A1086" s="211" t="s">
        <v>2510</v>
      </c>
      <c r="B1086" s="211" t="s">
        <v>243</v>
      </c>
      <c r="C1086" s="211" t="s">
        <v>244</v>
      </c>
      <c r="D1086" s="199"/>
      <c r="E1086" s="211" t="s">
        <v>2511</v>
      </c>
      <c r="F1086" s="211">
        <v>-364208.8</v>
      </c>
      <c r="G1086" s="211">
        <v>-461703.3</v>
      </c>
      <c r="H1086" s="204">
        <v>-554043.96</v>
      </c>
      <c r="I1086" s="205">
        <f>+F1086/10*12</f>
        <v>-437050.55999999994</v>
      </c>
    </row>
    <row r="1087" spans="1:12" hidden="1" x14ac:dyDescent="0.3">
      <c r="A1087" s="211" t="s">
        <v>2512</v>
      </c>
      <c r="B1087" s="211" t="s">
        <v>2513</v>
      </c>
      <c r="C1087" s="211" t="s">
        <v>2514</v>
      </c>
      <c r="D1087" s="199"/>
      <c r="E1087" s="211" t="s">
        <v>2515</v>
      </c>
      <c r="F1087" s="211">
        <v>189919.15</v>
      </c>
      <c r="G1087" s="211">
        <v>213836.7</v>
      </c>
      <c r="H1087" s="204">
        <v>256604.04000000004</v>
      </c>
      <c r="I1087" s="205">
        <f>+F1087/10*12</f>
        <v>227902.98</v>
      </c>
    </row>
    <row r="1088" spans="1:12" hidden="1" x14ac:dyDescent="0.3">
      <c r="A1088" s="211" t="s">
        <v>2516</v>
      </c>
      <c r="B1088" s="211" t="s">
        <v>2513</v>
      </c>
      <c r="C1088" s="211" t="s">
        <v>2517</v>
      </c>
      <c r="D1088" s="199"/>
      <c r="E1088" s="256" t="s">
        <v>2518</v>
      </c>
      <c r="F1088" s="211">
        <v>174289.65</v>
      </c>
      <c r="G1088" s="211">
        <v>247866.7</v>
      </c>
      <c r="H1088" s="204">
        <v>297440.04000000004</v>
      </c>
      <c r="I1088" s="205">
        <f>+F1088/10*12</f>
        <v>209147.58000000002</v>
      </c>
      <c r="J1088" s="205">
        <f>+I1086+I1087+I1088</f>
        <v>0</v>
      </c>
      <c r="K1088" s="259">
        <f>+I1087+I1088</f>
        <v>437050.56000000006</v>
      </c>
    </row>
    <row r="1089" spans="1:11" hidden="1" x14ac:dyDescent="0.3">
      <c r="A1089" s="211" t="s">
        <v>2519</v>
      </c>
      <c r="B1089" s="211" t="s">
        <v>422</v>
      </c>
      <c r="C1089" s="211" t="s">
        <v>2011</v>
      </c>
      <c r="D1089" s="199"/>
      <c r="E1089" s="211" t="s">
        <v>2520</v>
      </c>
      <c r="F1089" s="211">
        <v>515.76</v>
      </c>
      <c r="G1089" s="211">
        <v>0</v>
      </c>
      <c r="H1089" s="204">
        <v>0</v>
      </c>
      <c r="I1089" s="205">
        <f>+F1089/10*12</f>
        <v>618.91200000000003</v>
      </c>
      <c r="K1089" s="226"/>
    </row>
    <row r="1090" spans="1:11" hidden="1" x14ac:dyDescent="0.3">
      <c r="I1090" s="205" t="s">
        <v>229</v>
      </c>
      <c r="K1090" s="226">
        <f>SUM(K480:K1088)</f>
        <v>5829854.3720000014</v>
      </c>
    </row>
    <row r="1091" spans="1:11" x14ac:dyDescent="0.3">
      <c r="E1091" s="288" t="s">
        <v>2699</v>
      </c>
      <c r="F1091" s="287">
        <f>SUM(F456:F1090)</f>
        <v>6234271.8800000008</v>
      </c>
      <c r="G1091" s="287">
        <f>SUM(G456:G1090)</f>
        <v>5573592.7200000035</v>
      </c>
      <c r="H1091" s="287">
        <f>SUM(H456:H1090)</f>
        <v>6688311.2639999995</v>
      </c>
      <c r="I1091" s="287">
        <f>SUM(I456:I1090)</f>
        <v>9070737.0319999997</v>
      </c>
      <c r="J1091" s="205">
        <f>+'Base Financials - Middlesex'!C67-'Base Financials - Middlesex'!C35</f>
        <v>5932974.5479999967</v>
      </c>
      <c r="K1091" s="226">
        <f>23349963-K454</f>
        <v>6602349</v>
      </c>
    </row>
    <row r="1092" spans="1:11" x14ac:dyDescent="0.3">
      <c r="I1092" s="205" t="s">
        <v>229</v>
      </c>
    </row>
    <row r="1093" spans="1:11" x14ac:dyDescent="0.3">
      <c r="E1093" t="s">
        <v>2700</v>
      </c>
      <c r="F1093" s="287">
        <f t="shared" ref="F1093:K1093" si="13">+F98+F454+F1091</f>
        <v>-874129.21999999136</v>
      </c>
      <c r="G1093" s="287">
        <f t="shared" si="13"/>
        <v>-23894.879999983124</v>
      </c>
      <c r="H1093" s="287">
        <f t="shared" si="13"/>
        <v>-28673.855999986641</v>
      </c>
      <c r="I1093" s="287">
        <f t="shared" si="13"/>
        <v>-13697291.304462371</v>
      </c>
      <c r="J1093" s="287">
        <f t="shared" si="13"/>
        <v>167830.98799999803</v>
      </c>
      <c r="K1093" s="287">
        <f t="shared" si="13"/>
        <v>-514040</v>
      </c>
    </row>
    <row r="1094" spans="1:11" x14ac:dyDescent="0.3">
      <c r="H1094" s="205" t="s">
        <v>229</v>
      </c>
      <c r="I1094" s="205" t="s">
        <v>229</v>
      </c>
    </row>
    <row r="1095" spans="1:11" x14ac:dyDescent="0.3">
      <c r="I1095" s="205" t="s">
        <v>229</v>
      </c>
    </row>
  </sheetData>
  <autoFilter ref="A10:H1089" xr:uid="{00000000-0009-0000-0000-000003000000}">
    <sortState xmlns:xlrd2="http://schemas.microsoft.com/office/spreadsheetml/2017/richdata2" ref="A11:H1089">
      <sortCondition ref="A10"/>
    </sortState>
  </autoFilter>
  <mergeCells count="1">
    <mergeCell ref="B9:C9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L1083"/>
  <sheetViews>
    <sheetView topLeftCell="D4" zoomScale="160" zoomScaleNormal="160" workbookViewId="0">
      <selection activeCell="H288" sqref="H288"/>
    </sheetView>
  </sheetViews>
  <sheetFormatPr defaultColWidth="8.77734375" defaultRowHeight="14.4" x14ac:dyDescent="0.3"/>
  <cols>
    <col min="1" max="1" width="15.44140625" hidden="1" customWidth="1"/>
    <col min="2" max="2" width="14.33203125" customWidth="1"/>
    <col min="3" max="3" width="15.44140625" customWidth="1"/>
    <col min="4" max="4" width="43.44140625" customWidth="1"/>
    <col min="5" max="5" width="13.44140625" bestFit="1" customWidth="1"/>
    <col min="6" max="6" width="13.44140625" style="294" bestFit="1" customWidth="1"/>
    <col min="7" max="7" width="13.44140625" style="294" customWidth="1"/>
    <col min="8" max="9" width="13.44140625" customWidth="1"/>
    <col min="10" max="10" width="23.44140625" customWidth="1"/>
    <col min="11" max="11" width="15" customWidth="1"/>
    <col min="12" max="12" width="11.6640625" customWidth="1"/>
    <col min="13" max="13" width="3.109375" customWidth="1"/>
    <col min="14" max="14" width="13.44140625" customWidth="1"/>
    <col min="15" max="15" width="13" customWidth="1"/>
  </cols>
  <sheetData>
    <row r="1" spans="1:10" ht="22.8" x14ac:dyDescent="0.4">
      <c r="A1" s="289"/>
      <c r="B1" s="290" t="s">
        <v>230</v>
      </c>
      <c r="C1" s="291"/>
      <c r="D1" s="292"/>
      <c r="E1" s="292"/>
      <c r="F1" s="293"/>
    </row>
    <row r="2" spans="1:10" x14ac:dyDescent="0.3">
      <c r="A2" s="289"/>
      <c r="B2" s="295" t="s">
        <v>231</v>
      </c>
      <c r="C2" s="295"/>
      <c r="D2" s="292"/>
      <c r="E2" s="292"/>
      <c r="F2" s="296" t="s">
        <v>2702</v>
      </c>
      <c r="G2" s="294">
        <f>SUM(G5:G100)</f>
        <v>-21292539.999999993</v>
      </c>
      <c r="H2" s="294">
        <f>SUM(H5:H100)</f>
        <v>-23862330.999999993</v>
      </c>
      <c r="I2" s="294">
        <f>+H2-G2</f>
        <v>-2569791</v>
      </c>
    </row>
    <row r="3" spans="1:10" x14ac:dyDescent="0.3">
      <c r="A3" s="289"/>
      <c r="B3" s="297" t="s">
        <v>232</v>
      </c>
      <c r="C3" s="297"/>
      <c r="D3" s="292"/>
      <c r="E3" s="292"/>
      <c r="F3" s="293"/>
      <c r="J3" t="s">
        <v>2703</v>
      </c>
    </row>
    <row r="4" spans="1:10" x14ac:dyDescent="0.3">
      <c r="A4" s="289" t="s">
        <v>239</v>
      </c>
      <c r="B4" s="212" t="s">
        <v>240</v>
      </c>
      <c r="C4" s="212" t="s">
        <v>241</v>
      </c>
      <c r="D4" s="289"/>
      <c r="E4" s="298" t="s">
        <v>2704</v>
      </c>
      <c r="F4" s="299" t="s">
        <v>2705</v>
      </c>
      <c r="G4" s="294" t="s">
        <v>236</v>
      </c>
      <c r="H4" t="s">
        <v>237</v>
      </c>
      <c r="I4" t="s">
        <v>238</v>
      </c>
    </row>
    <row r="5" spans="1:10" hidden="1" x14ac:dyDescent="0.3">
      <c r="A5" s="298" t="s">
        <v>2706</v>
      </c>
      <c r="B5" s="298" t="s">
        <v>243</v>
      </c>
      <c r="C5" s="298" t="s">
        <v>244</v>
      </c>
      <c r="D5" s="298" t="s">
        <v>245</v>
      </c>
      <c r="E5" s="298">
        <v>-13964225</v>
      </c>
      <c r="F5" s="299">
        <v>-13721544.199999999</v>
      </c>
      <c r="G5" s="299">
        <v>-16465853</v>
      </c>
      <c r="H5" s="298">
        <v>-16732673</v>
      </c>
      <c r="I5" s="298">
        <f t="shared" ref="I5:I68" si="0">+H5-G5</f>
        <v>-266820</v>
      </c>
    </row>
    <row r="6" spans="1:10" hidden="1" x14ac:dyDescent="0.3">
      <c r="A6" s="298" t="s">
        <v>2707</v>
      </c>
      <c r="B6" s="298" t="s">
        <v>243</v>
      </c>
      <c r="C6" s="298" t="s">
        <v>244</v>
      </c>
      <c r="D6" s="298" t="s">
        <v>2485</v>
      </c>
      <c r="E6" s="298">
        <v>-363020</v>
      </c>
      <c r="F6" s="299">
        <v>-363016.7</v>
      </c>
      <c r="G6" s="299">
        <v>0</v>
      </c>
      <c r="H6" s="298">
        <v>-435620</v>
      </c>
      <c r="I6" s="298">
        <f t="shared" si="0"/>
        <v>-435620</v>
      </c>
      <c r="J6" t="s">
        <v>2708</v>
      </c>
    </row>
    <row r="7" spans="1:10" hidden="1" x14ac:dyDescent="0.3">
      <c r="A7" s="298" t="s">
        <v>2709</v>
      </c>
      <c r="B7" s="298" t="s">
        <v>243</v>
      </c>
      <c r="C7" s="298" t="s">
        <v>244</v>
      </c>
      <c r="D7" s="298" t="s">
        <v>2511</v>
      </c>
      <c r="E7" s="298">
        <v>-364208.8</v>
      </c>
      <c r="F7" s="299">
        <v>-461703.3</v>
      </c>
      <c r="G7" s="299">
        <v>-554044</v>
      </c>
      <c r="H7" s="298">
        <f>-554044-14008</f>
        <v>-568052</v>
      </c>
      <c r="I7" s="298">
        <f t="shared" si="0"/>
        <v>-14008</v>
      </c>
    </row>
    <row r="8" spans="1:10" hidden="1" x14ac:dyDescent="0.3">
      <c r="A8" s="298" t="s">
        <v>2710</v>
      </c>
      <c r="B8" s="298" t="s">
        <v>243</v>
      </c>
      <c r="C8" s="298" t="s">
        <v>312</v>
      </c>
      <c r="D8" s="298" t="s">
        <v>313</v>
      </c>
      <c r="E8" s="298">
        <v>-145750.51</v>
      </c>
      <c r="F8" s="299">
        <v>0</v>
      </c>
      <c r="G8" s="299">
        <v>0</v>
      </c>
      <c r="H8" s="300"/>
      <c r="I8" s="298">
        <f t="shared" si="0"/>
        <v>0</v>
      </c>
    </row>
    <row r="9" spans="1:10" hidden="1" x14ac:dyDescent="0.3">
      <c r="A9" s="298" t="s">
        <v>2711</v>
      </c>
      <c r="B9" s="298" t="s">
        <v>243</v>
      </c>
      <c r="C9" s="298" t="s">
        <v>309</v>
      </c>
      <c r="D9" s="298" t="s">
        <v>310</v>
      </c>
      <c r="E9" s="298">
        <v>-20788</v>
      </c>
      <c r="F9" s="299">
        <v>0</v>
      </c>
      <c r="G9" s="299">
        <v>0</v>
      </c>
      <c r="H9" s="300"/>
      <c r="I9" s="298">
        <f t="shared" si="0"/>
        <v>0</v>
      </c>
    </row>
    <row r="10" spans="1:10" hidden="1" x14ac:dyDescent="0.3">
      <c r="A10" s="298" t="s">
        <v>2712</v>
      </c>
      <c r="B10" s="298" t="s">
        <v>263</v>
      </c>
      <c r="C10" s="298" t="s">
        <v>264</v>
      </c>
      <c r="D10" s="298" t="s">
        <v>265</v>
      </c>
      <c r="E10" s="298">
        <v>-463500</v>
      </c>
      <c r="F10" s="299">
        <v>-463500</v>
      </c>
      <c r="G10" s="299">
        <v>-556200</v>
      </c>
      <c r="H10" s="298">
        <v>-568895</v>
      </c>
      <c r="I10" s="298">
        <f t="shared" si="0"/>
        <v>-12695</v>
      </c>
    </row>
    <row r="11" spans="1:10" hidden="1" x14ac:dyDescent="0.3">
      <c r="A11" s="298" t="s">
        <v>2713</v>
      </c>
      <c r="B11" s="298" t="s">
        <v>267</v>
      </c>
      <c r="C11" s="298" t="s">
        <v>264</v>
      </c>
      <c r="D11" s="298" t="s">
        <v>268</v>
      </c>
      <c r="E11" s="298">
        <v>-70684</v>
      </c>
      <c r="F11" s="299">
        <v>-79416.7</v>
      </c>
      <c r="G11" s="299">
        <v>-95300</v>
      </c>
      <c r="H11" s="298">
        <v>-97475</v>
      </c>
      <c r="I11" s="298">
        <f t="shared" si="0"/>
        <v>-2175</v>
      </c>
    </row>
    <row r="12" spans="1:10" hidden="1" x14ac:dyDescent="0.3">
      <c r="A12" s="298" t="s">
        <v>2714</v>
      </c>
      <c r="B12" s="298" t="s">
        <v>267</v>
      </c>
      <c r="C12" s="298" t="s">
        <v>264</v>
      </c>
      <c r="D12" s="298" t="s">
        <v>270</v>
      </c>
      <c r="E12" s="298">
        <v>-104336</v>
      </c>
      <c r="F12" s="299">
        <v>-105750</v>
      </c>
      <c r="G12" s="299">
        <v>-126900</v>
      </c>
      <c r="H12" s="298">
        <v>-129797</v>
      </c>
      <c r="I12" s="298">
        <f t="shared" si="0"/>
        <v>-2897</v>
      </c>
    </row>
    <row r="13" spans="1:10" hidden="1" x14ac:dyDescent="0.3">
      <c r="A13" s="298" t="s">
        <v>2715</v>
      </c>
      <c r="B13" s="298" t="s">
        <v>267</v>
      </c>
      <c r="C13" s="298" t="s">
        <v>264</v>
      </c>
      <c r="D13" s="298" t="s">
        <v>272</v>
      </c>
      <c r="E13" s="298">
        <v>-58920</v>
      </c>
      <c r="F13" s="299">
        <v>-58916.7</v>
      </c>
      <c r="G13" s="299">
        <v>-70700</v>
      </c>
      <c r="H13" s="298">
        <v>-109238</v>
      </c>
      <c r="I13" s="298">
        <f t="shared" si="0"/>
        <v>-38538</v>
      </c>
    </row>
    <row r="14" spans="1:10" hidden="1" x14ac:dyDescent="0.3">
      <c r="A14" s="298" t="s">
        <v>2716</v>
      </c>
      <c r="B14" s="298" t="s">
        <v>280</v>
      </c>
      <c r="C14" s="298" t="s">
        <v>264</v>
      </c>
      <c r="D14" s="298" t="s">
        <v>281</v>
      </c>
      <c r="E14" s="298">
        <v>-318920</v>
      </c>
      <c r="F14" s="299">
        <v>-318916.7</v>
      </c>
      <c r="G14" s="299">
        <v>-382700</v>
      </c>
      <c r="H14" s="298">
        <v>-391435</v>
      </c>
      <c r="I14" s="298">
        <f t="shared" si="0"/>
        <v>-8735</v>
      </c>
    </row>
    <row r="15" spans="1:10" x14ac:dyDescent="0.3">
      <c r="A15" s="298" t="s">
        <v>2717</v>
      </c>
      <c r="B15" s="298" t="s">
        <v>287</v>
      </c>
      <c r="C15" s="298" t="s">
        <v>264</v>
      </c>
      <c r="D15" s="298" t="s">
        <v>288</v>
      </c>
      <c r="E15" s="298">
        <v>-2162942</v>
      </c>
      <c r="F15" s="299">
        <v>-2114666.7000000002</v>
      </c>
      <c r="G15" s="299">
        <v>-2537600</v>
      </c>
      <c r="H15" s="298">
        <v>-2811722</v>
      </c>
      <c r="I15" s="298">
        <f t="shared" si="0"/>
        <v>-274122</v>
      </c>
    </row>
    <row r="16" spans="1:10" hidden="1" x14ac:dyDescent="0.3">
      <c r="A16" s="298" t="s">
        <v>2718</v>
      </c>
      <c r="B16" s="298" t="s">
        <v>293</v>
      </c>
      <c r="C16" s="298" t="s">
        <v>264</v>
      </c>
      <c r="D16" s="298" t="s">
        <v>294</v>
      </c>
      <c r="E16" s="298">
        <v>-1629</v>
      </c>
      <c r="F16" s="299">
        <v>-1627.5</v>
      </c>
      <c r="G16" s="299">
        <v>-1953</v>
      </c>
      <c r="H16" s="298">
        <v>-1953</v>
      </c>
      <c r="I16" s="298">
        <f t="shared" si="0"/>
        <v>0</v>
      </c>
    </row>
    <row r="17" spans="1:10" hidden="1" x14ac:dyDescent="0.3">
      <c r="A17" s="298" t="s">
        <v>242</v>
      </c>
      <c r="B17" s="298" t="s">
        <v>293</v>
      </c>
      <c r="C17" s="298" t="s">
        <v>264</v>
      </c>
      <c r="D17" s="298" t="s">
        <v>296</v>
      </c>
      <c r="E17" s="298">
        <v>0</v>
      </c>
      <c r="F17" s="299">
        <v>-19615</v>
      </c>
      <c r="G17" s="299">
        <v>-23538</v>
      </c>
      <c r="H17" s="298">
        <v>-23538</v>
      </c>
      <c r="I17" s="298">
        <f t="shared" si="0"/>
        <v>0</v>
      </c>
    </row>
    <row r="18" spans="1:10" hidden="1" x14ac:dyDescent="0.3">
      <c r="A18" s="298" t="s">
        <v>246</v>
      </c>
      <c r="B18" s="298" t="s">
        <v>293</v>
      </c>
      <c r="C18" s="298" t="s">
        <v>264</v>
      </c>
      <c r="D18" s="298" t="s">
        <v>298</v>
      </c>
      <c r="E18" s="298">
        <v>-500168</v>
      </c>
      <c r="F18" s="299">
        <v>-417895.8</v>
      </c>
      <c r="G18" s="299">
        <v>-501475</v>
      </c>
      <c r="H18" s="298">
        <v>-511977</v>
      </c>
      <c r="I18" s="298">
        <f t="shared" si="0"/>
        <v>-10502</v>
      </c>
    </row>
    <row r="19" spans="1:10" hidden="1" x14ac:dyDescent="0.3">
      <c r="A19" s="298" t="s">
        <v>250</v>
      </c>
      <c r="B19" s="298" t="s">
        <v>283</v>
      </c>
      <c r="C19" s="298" t="s">
        <v>284</v>
      </c>
      <c r="D19" s="298" t="s">
        <v>285</v>
      </c>
      <c r="E19" s="298">
        <v>-600834.30000000005</v>
      </c>
      <c r="F19" s="299">
        <v>-598333.30000000005</v>
      </c>
      <c r="G19" s="299">
        <v>-718000</v>
      </c>
      <c r="H19" s="298">
        <v>-718000</v>
      </c>
      <c r="I19" s="298">
        <f t="shared" si="0"/>
        <v>0</v>
      </c>
    </row>
    <row r="20" spans="1:10" hidden="1" x14ac:dyDescent="0.3">
      <c r="A20" s="298" t="s">
        <v>253</v>
      </c>
      <c r="B20" s="298" t="s">
        <v>243</v>
      </c>
      <c r="C20" s="298" t="s">
        <v>284</v>
      </c>
      <c r="D20" s="298" t="s">
        <v>2488</v>
      </c>
      <c r="E20" s="298">
        <v>229391.7</v>
      </c>
      <c r="F20" s="299">
        <v>229391.7</v>
      </c>
      <c r="G20" s="299">
        <v>275270</v>
      </c>
      <c r="H20" s="301">
        <v>275270</v>
      </c>
      <c r="I20" s="298">
        <f t="shared" si="0"/>
        <v>0</v>
      </c>
      <c r="J20" t="s">
        <v>2719</v>
      </c>
    </row>
    <row r="21" spans="1:10" hidden="1" x14ac:dyDescent="0.3">
      <c r="A21" s="298" t="s">
        <v>256</v>
      </c>
      <c r="B21" s="298" t="s">
        <v>243</v>
      </c>
      <c r="C21" s="298" t="s">
        <v>284</v>
      </c>
      <c r="D21" s="298" t="s">
        <v>2491</v>
      </c>
      <c r="E21" s="298">
        <v>133622</v>
      </c>
      <c r="F21" s="299">
        <v>133625</v>
      </c>
      <c r="G21" s="299">
        <v>160350</v>
      </c>
      <c r="H21" s="301">
        <v>160350</v>
      </c>
      <c r="I21" s="298">
        <f t="shared" si="0"/>
        <v>0</v>
      </c>
      <c r="J21" t="s">
        <v>2719</v>
      </c>
    </row>
    <row r="22" spans="1:10" x14ac:dyDescent="0.3">
      <c r="A22" s="298" t="s">
        <v>259</v>
      </c>
      <c r="B22" s="298" t="s">
        <v>287</v>
      </c>
      <c r="C22" s="298" t="s">
        <v>284</v>
      </c>
      <c r="D22" s="298" t="s">
        <v>2493</v>
      </c>
      <c r="E22" s="298">
        <v>1899989.88</v>
      </c>
      <c r="F22" s="299">
        <v>145740.70000000001</v>
      </c>
      <c r="G22" s="299">
        <v>174888.8</v>
      </c>
      <c r="H22" s="302">
        <f>+G22</f>
        <v>174888.8</v>
      </c>
      <c r="I22" s="298">
        <f t="shared" si="0"/>
        <v>0</v>
      </c>
      <c r="J22" t="s">
        <v>2720</v>
      </c>
    </row>
    <row r="23" spans="1:10" x14ac:dyDescent="0.3">
      <c r="A23" s="298" t="s">
        <v>262</v>
      </c>
      <c r="B23" s="298" t="s">
        <v>287</v>
      </c>
      <c r="C23" s="298" t="s">
        <v>284</v>
      </c>
      <c r="D23" s="298" t="s">
        <v>2495</v>
      </c>
      <c r="E23" s="298">
        <v>-5157.71</v>
      </c>
      <c r="F23" s="299">
        <v>139274</v>
      </c>
      <c r="G23" s="299">
        <v>167128.79999999999</v>
      </c>
      <c r="H23" s="302">
        <f>+G23</f>
        <v>167128.79999999999</v>
      </c>
      <c r="I23" s="298">
        <f t="shared" si="0"/>
        <v>0</v>
      </c>
      <c r="J23" t="s">
        <v>2720</v>
      </c>
    </row>
    <row r="24" spans="1:10" x14ac:dyDescent="0.3">
      <c r="A24" s="298" t="s">
        <v>266</v>
      </c>
      <c r="B24" s="298" t="s">
        <v>287</v>
      </c>
      <c r="C24" s="298" t="s">
        <v>284</v>
      </c>
      <c r="D24" s="298" t="s">
        <v>2497</v>
      </c>
      <c r="E24" s="298">
        <v>-450</v>
      </c>
      <c r="F24" s="299">
        <v>133090.70000000001</v>
      </c>
      <c r="G24" s="299">
        <v>159708.79999999999</v>
      </c>
      <c r="H24" s="302">
        <f>+G24</f>
        <v>159708.79999999999</v>
      </c>
      <c r="I24" s="298">
        <f t="shared" si="0"/>
        <v>0</v>
      </c>
      <c r="J24" t="s">
        <v>2720</v>
      </c>
    </row>
    <row r="25" spans="1:10" x14ac:dyDescent="0.3">
      <c r="A25" s="298" t="s">
        <v>269</v>
      </c>
      <c r="B25" s="298" t="s">
        <v>287</v>
      </c>
      <c r="C25" s="298" t="s">
        <v>284</v>
      </c>
      <c r="D25" s="298" t="s">
        <v>2499</v>
      </c>
      <c r="E25" s="298">
        <v>557.98</v>
      </c>
      <c r="F25" s="299">
        <v>135582.29999999999</v>
      </c>
      <c r="G25" s="299">
        <v>162698.79999999999</v>
      </c>
      <c r="H25" s="302">
        <f>+G25</f>
        <v>162698.79999999999</v>
      </c>
      <c r="I25" s="298">
        <f t="shared" si="0"/>
        <v>0</v>
      </c>
      <c r="J25" t="s">
        <v>2720</v>
      </c>
    </row>
    <row r="26" spans="1:10" x14ac:dyDescent="0.3">
      <c r="A26" s="298" t="s">
        <v>271</v>
      </c>
      <c r="B26" s="298" t="s">
        <v>287</v>
      </c>
      <c r="C26" s="298" t="s">
        <v>284</v>
      </c>
      <c r="D26" s="298" t="s">
        <v>2501</v>
      </c>
      <c r="E26" s="298">
        <v>0</v>
      </c>
      <c r="F26" s="299">
        <v>195458</v>
      </c>
      <c r="G26" s="299">
        <v>234549.6</v>
      </c>
      <c r="H26" s="302">
        <f>+G26</f>
        <v>234549.6</v>
      </c>
      <c r="I26" s="298">
        <f t="shared" si="0"/>
        <v>0</v>
      </c>
      <c r="J26" t="s">
        <v>2720</v>
      </c>
    </row>
    <row r="27" spans="1:10" x14ac:dyDescent="0.3">
      <c r="A27" s="298" t="s">
        <v>273</v>
      </c>
      <c r="B27" s="298" t="s">
        <v>287</v>
      </c>
      <c r="C27" s="298" t="s">
        <v>284</v>
      </c>
      <c r="D27" s="298" t="s">
        <v>2503</v>
      </c>
      <c r="E27" s="298">
        <v>1300</v>
      </c>
      <c r="F27" s="299">
        <v>707044.8</v>
      </c>
      <c r="G27" s="299">
        <v>848453.8</v>
      </c>
      <c r="H27" s="302">
        <f>+G27+64453</f>
        <v>912906.8</v>
      </c>
      <c r="I27" s="298">
        <f t="shared" si="0"/>
        <v>64453</v>
      </c>
      <c r="J27" t="s">
        <v>2721</v>
      </c>
    </row>
    <row r="28" spans="1:10" x14ac:dyDescent="0.3">
      <c r="A28" s="298" t="s">
        <v>275</v>
      </c>
      <c r="B28" s="298" t="s">
        <v>287</v>
      </c>
      <c r="C28" s="298" t="s">
        <v>284</v>
      </c>
      <c r="D28" s="298" t="s">
        <v>2505</v>
      </c>
      <c r="E28" s="298">
        <v>-1910</v>
      </c>
      <c r="F28" s="299">
        <v>385044</v>
      </c>
      <c r="G28" s="299">
        <v>462052.8</v>
      </c>
      <c r="H28" s="302">
        <f>+G28</f>
        <v>462052.8</v>
      </c>
      <c r="I28" s="298">
        <f t="shared" si="0"/>
        <v>0</v>
      </c>
      <c r="J28" t="s">
        <v>2720</v>
      </c>
    </row>
    <row r="29" spans="1:10" x14ac:dyDescent="0.3">
      <c r="A29" s="298" t="s">
        <v>277</v>
      </c>
      <c r="B29" s="298" t="s">
        <v>287</v>
      </c>
      <c r="C29" s="298" t="s">
        <v>284</v>
      </c>
      <c r="D29" s="298" t="s">
        <v>2507</v>
      </c>
      <c r="E29" s="298">
        <v>0</v>
      </c>
      <c r="F29" s="299">
        <v>135715.70000000001</v>
      </c>
      <c r="G29" s="299">
        <v>162858.79999999999</v>
      </c>
      <c r="H29" s="302">
        <f>+G29</f>
        <v>162858.79999999999</v>
      </c>
      <c r="I29" s="298">
        <f t="shared" si="0"/>
        <v>0</v>
      </c>
      <c r="J29" t="s">
        <v>2720</v>
      </c>
    </row>
    <row r="30" spans="1:10" x14ac:dyDescent="0.3">
      <c r="A30" s="298" t="s">
        <v>279</v>
      </c>
      <c r="B30" s="298" t="s">
        <v>287</v>
      </c>
      <c r="C30" s="298" t="s">
        <v>284</v>
      </c>
      <c r="D30" s="298" t="s">
        <v>2509</v>
      </c>
      <c r="E30" s="298">
        <v>98</v>
      </c>
      <c r="F30" s="299">
        <v>132274</v>
      </c>
      <c r="G30" s="299">
        <v>158728.79999999999</v>
      </c>
      <c r="H30" s="302">
        <f>+G30</f>
        <v>158728.79999999999</v>
      </c>
      <c r="I30" s="298">
        <f t="shared" si="0"/>
        <v>0</v>
      </c>
      <c r="J30" t="s">
        <v>2720</v>
      </c>
    </row>
    <row r="31" spans="1:10" hidden="1" x14ac:dyDescent="0.3">
      <c r="A31" s="298" t="s">
        <v>282</v>
      </c>
      <c r="B31" s="298" t="s">
        <v>251</v>
      </c>
      <c r="C31" s="298" t="s">
        <v>254</v>
      </c>
      <c r="D31" s="298" t="s">
        <v>255</v>
      </c>
      <c r="E31" s="298">
        <v>-127500</v>
      </c>
      <c r="F31" s="299">
        <v>-127500</v>
      </c>
      <c r="G31" s="299">
        <v>-153000</v>
      </c>
      <c r="H31" s="299">
        <v>-191500</v>
      </c>
      <c r="I31" s="298">
        <f t="shared" si="0"/>
        <v>-38500</v>
      </c>
    </row>
    <row r="32" spans="1:10" hidden="1" x14ac:dyDescent="0.3">
      <c r="A32" s="298" t="s">
        <v>286</v>
      </c>
      <c r="B32" s="298" t="s">
        <v>260</v>
      </c>
      <c r="C32" s="298" t="s">
        <v>254</v>
      </c>
      <c r="D32" s="298" t="s">
        <v>261</v>
      </c>
      <c r="E32" s="298">
        <v>-28599.23</v>
      </c>
      <c r="F32" s="299">
        <v>-6000</v>
      </c>
      <c r="G32" s="299">
        <v>-7200</v>
      </c>
      <c r="H32" s="299">
        <v>-7200</v>
      </c>
      <c r="I32" s="298">
        <f t="shared" si="0"/>
        <v>0</v>
      </c>
    </row>
    <row r="33" spans="1:9" hidden="1" x14ac:dyDescent="0.3">
      <c r="A33" s="298" t="s">
        <v>289</v>
      </c>
      <c r="B33" s="298" t="s">
        <v>260</v>
      </c>
      <c r="C33" s="298" t="s">
        <v>254</v>
      </c>
      <c r="D33" s="298" t="s">
        <v>276</v>
      </c>
      <c r="E33" s="298">
        <v>-45453.4</v>
      </c>
      <c r="F33" s="299">
        <v>-54166.7</v>
      </c>
      <c r="G33" s="299">
        <v>-65000</v>
      </c>
      <c r="H33" s="299">
        <v>-65000</v>
      </c>
      <c r="I33" s="298">
        <f t="shared" si="0"/>
        <v>0</v>
      </c>
    </row>
    <row r="34" spans="1:9" hidden="1" x14ac:dyDescent="0.3">
      <c r="A34" s="298" t="s">
        <v>292</v>
      </c>
      <c r="B34" s="298" t="s">
        <v>260</v>
      </c>
      <c r="C34" s="298" t="s">
        <v>254</v>
      </c>
      <c r="D34" s="298" t="s">
        <v>278</v>
      </c>
      <c r="E34" s="298">
        <v>-78281.59</v>
      </c>
      <c r="F34" s="299">
        <v>-66666.7</v>
      </c>
      <c r="G34" s="299">
        <v>-80000</v>
      </c>
      <c r="H34" s="299">
        <v>-100000</v>
      </c>
      <c r="I34" s="298">
        <f t="shared" si="0"/>
        <v>-20000</v>
      </c>
    </row>
    <row r="35" spans="1:9" hidden="1" x14ac:dyDescent="0.3">
      <c r="A35" s="298" t="s">
        <v>295</v>
      </c>
      <c r="B35" s="298" t="s">
        <v>247</v>
      </c>
      <c r="C35" s="298" t="s">
        <v>248</v>
      </c>
      <c r="D35" s="298" t="s">
        <v>249</v>
      </c>
      <c r="E35" s="298">
        <v>-55875</v>
      </c>
      <c r="F35" s="299">
        <v>-55875</v>
      </c>
      <c r="G35" s="299">
        <v>-67050</v>
      </c>
      <c r="H35" s="299">
        <v>-67052</v>
      </c>
      <c r="I35" s="298">
        <f t="shared" si="0"/>
        <v>-2</v>
      </c>
    </row>
    <row r="36" spans="1:9" hidden="1" x14ac:dyDescent="0.3">
      <c r="A36" s="298" t="s">
        <v>297</v>
      </c>
      <c r="B36" s="298" t="s">
        <v>251</v>
      </c>
      <c r="C36" s="298" t="s">
        <v>248</v>
      </c>
      <c r="D36" s="298" t="s">
        <v>252</v>
      </c>
      <c r="E36" s="298">
        <v>-60412.5</v>
      </c>
      <c r="F36" s="299">
        <v>-19316.7</v>
      </c>
      <c r="G36" s="299">
        <v>-23180</v>
      </c>
      <c r="H36" s="299">
        <v>-23180</v>
      </c>
      <c r="I36" s="298">
        <f t="shared" si="0"/>
        <v>0</v>
      </c>
    </row>
    <row r="37" spans="1:9" hidden="1" x14ac:dyDescent="0.3">
      <c r="A37" s="298" t="s">
        <v>299</v>
      </c>
      <c r="B37" s="298" t="s">
        <v>257</v>
      </c>
      <c r="C37" s="298" t="s">
        <v>248</v>
      </c>
      <c r="D37" s="298" t="s">
        <v>258</v>
      </c>
      <c r="E37" s="298">
        <v>-159712.49</v>
      </c>
      <c r="F37" s="299">
        <v>-200808.3</v>
      </c>
      <c r="G37" s="299">
        <v>-240970</v>
      </c>
      <c r="H37" s="299">
        <v>-240972</v>
      </c>
      <c r="I37" s="298">
        <f t="shared" si="0"/>
        <v>-2</v>
      </c>
    </row>
    <row r="38" spans="1:9" hidden="1" x14ac:dyDescent="0.3">
      <c r="A38" s="298" t="s">
        <v>302</v>
      </c>
      <c r="B38" s="298" t="s">
        <v>290</v>
      </c>
      <c r="C38" s="298" t="s">
        <v>248</v>
      </c>
      <c r="D38" s="298" t="s">
        <v>291</v>
      </c>
      <c r="E38" s="298">
        <v>-122407.51</v>
      </c>
      <c r="F38" s="299">
        <v>-122407.5</v>
      </c>
      <c r="G38" s="299">
        <v>-146889</v>
      </c>
      <c r="H38" s="299">
        <v>-146888</v>
      </c>
      <c r="I38" s="298">
        <f t="shared" si="0"/>
        <v>1</v>
      </c>
    </row>
    <row r="39" spans="1:9" hidden="1" x14ac:dyDescent="0.3">
      <c r="A39" s="298" t="s">
        <v>305</v>
      </c>
      <c r="B39" s="298" t="s">
        <v>300</v>
      </c>
      <c r="C39" s="298" t="s">
        <v>248</v>
      </c>
      <c r="D39" s="298" t="s">
        <v>301</v>
      </c>
      <c r="E39" s="298">
        <v>0</v>
      </c>
      <c r="F39" s="299">
        <v>-25000</v>
      </c>
      <c r="G39" s="299">
        <v>-30000</v>
      </c>
      <c r="H39" s="299">
        <v>-30000</v>
      </c>
      <c r="I39" s="298">
        <f t="shared" si="0"/>
        <v>0</v>
      </c>
    </row>
    <row r="40" spans="1:9" hidden="1" x14ac:dyDescent="0.3">
      <c r="A40" s="298" t="s">
        <v>308</v>
      </c>
      <c r="B40" s="298" t="s">
        <v>303</v>
      </c>
      <c r="C40" s="298" t="s">
        <v>248</v>
      </c>
      <c r="D40" s="298" t="s">
        <v>304</v>
      </c>
      <c r="E40" s="298">
        <v>-48012.66</v>
      </c>
      <c r="F40" s="299">
        <v>-58833.3</v>
      </c>
      <c r="G40" s="299">
        <v>-70600</v>
      </c>
      <c r="H40" s="303"/>
      <c r="I40" s="298">
        <f t="shared" si="0"/>
        <v>70600</v>
      </c>
    </row>
    <row r="41" spans="1:9" hidden="1" x14ac:dyDescent="0.3">
      <c r="A41" s="298" t="s">
        <v>311</v>
      </c>
      <c r="B41" s="298" t="s">
        <v>306</v>
      </c>
      <c r="C41" s="298" t="s">
        <v>248</v>
      </c>
      <c r="D41" s="298" t="s">
        <v>307</v>
      </c>
      <c r="E41" s="298">
        <v>-23813.58</v>
      </c>
      <c r="F41" s="299">
        <v>-65189.2</v>
      </c>
      <c r="G41" s="299">
        <v>-78227</v>
      </c>
      <c r="H41" s="299">
        <v>-78227</v>
      </c>
      <c r="I41" s="298">
        <f t="shared" si="0"/>
        <v>0</v>
      </c>
    </row>
    <row r="42" spans="1:9" hidden="1" x14ac:dyDescent="0.3">
      <c r="A42" s="298" t="s">
        <v>314</v>
      </c>
      <c r="B42" s="298" t="s">
        <v>323</v>
      </c>
      <c r="C42" s="298" t="s">
        <v>318</v>
      </c>
      <c r="D42" s="298" t="s">
        <v>324</v>
      </c>
      <c r="E42" s="298">
        <v>-25874.45</v>
      </c>
      <c r="F42" s="299">
        <v>0</v>
      </c>
      <c r="G42" s="299">
        <v>0</v>
      </c>
      <c r="H42" s="302"/>
      <c r="I42" s="298">
        <f t="shared" si="0"/>
        <v>0</v>
      </c>
    </row>
    <row r="43" spans="1:9" hidden="1" x14ac:dyDescent="0.3">
      <c r="A43" s="298" t="s">
        <v>317</v>
      </c>
      <c r="B43" s="298" t="s">
        <v>263</v>
      </c>
      <c r="C43" s="298" t="s">
        <v>318</v>
      </c>
      <c r="D43" s="298" t="s">
        <v>319</v>
      </c>
      <c r="E43" s="298">
        <v>-655041.61</v>
      </c>
      <c r="F43" s="299">
        <v>0</v>
      </c>
      <c r="G43" s="299">
        <v>0</v>
      </c>
      <c r="H43" s="302"/>
      <c r="I43" s="298">
        <f t="shared" si="0"/>
        <v>0</v>
      </c>
    </row>
    <row r="44" spans="1:9" hidden="1" x14ac:dyDescent="0.3">
      <c r="A44" s="298" t="s">
        <v>320</v>
      </c>
      <c r="B44" s="298" t="s">
        <v>263</v>
      </c>
      <c r="C44" s="298" t="s">
        <v>318</v>
      </c>
      <c r="D44" s="298" t="s">
        <v>321</v>
      </c>
      <c r="E44" s="298">
        <v>-16592.5</v>
      </c>
      <c r="F44" s="299">
        <v>0</v>
      </c>
      <c r="G44" s="299">
        <v>0</v>
      </c>
      <c r="H44" s="302"/>
      <c r="I44" s="298">
        <f t="shared" si="0"/>
        <v>0</v>
      </c>
    </row>
    <row r="45" spans="1:9" hidden="1" x14ac:dyDescent="0.3">
      <c r="A45" s="298" t="s">
        <v>325</v>
      </c>
      <c r="B45" s="298" t="s">
        <v>260</v>
      </c>
      <c r="C45" s="298" t="s">
        <v>318</v>
      </c>
      <c r="D45" s="298" t="s">
        <v>326</v>
      </c>
      <c r="E45" s="298">
        <v>-10303</v>
      </c>
      <c r="F45" s="299">
        <v>0</v>
      </c>
      <c r="G45" s="299">
        <v>0</v>
      </c>
      <c r="H45" s="302"/>
      <c r="I45" s="298">
        <f t="shared" si="0"/>
        <v>0</v>
      </c>
    </row>
    <row r="46" spans="1:9" hidden="1" x14ac:dyDescent="0.3">
      <c r="A46" s="298" t="s">
        <v>327</v>
      </c>
      <c r="B46" s="298" t="s">
        <v>260</v>
      </c>
      <c r="C46" s="298" t="s">
        <v>318</v>
      </c>
      <c r="D46" s="298" t="s">
        <v>328</v>
      </c>
      <c r="E46" s="298">
        <v>967.13</v>
      </c>
      <c r="F46" s="299">
        <v>0</v>
      </c>
      <c r="G46" s="299">
        <v>0</v>
      </c>
      <c r="H46" s="302"/>
      <c r="I46" s="298">
        <f t="shared" si="0"/>
        <v>0</v>
      </c>
    </row>
    <row r="47" spans="1:9" hidden="1" x14ac:dyDescent="0.3">
      <c r="A47" s="298" t="s">
        <v>329</v>
      </c>
      <c r="B47" s="298" t="s">
        <v>280</v>
      </c>
      <c r="C47" s="298" t="s">
        <v>318</v>
      </c>
      <c r="D47" s="298" t="s">
        <v>330</v>
      </c>
      <c r="E47" s="298">
        <v>-26814</v>
      </c>
      <c r="F47" s="299">
        <v>-27800</v>
      </c>
      <c r="G47" s="299">
        <v>-33360</v>
      </c>
      <c r="H47" s="299">
        <v>-33360</v>
      </c>
      <c r="I47" s="298">
        <f t="shared" si="0"/>
        <v>0</v>
      </c>
    </row>
    <row r="48" spans="1:9" hidden="1" x14ac:dyDescent="0.3">
      <c r="A48" s="298" t="s">
        <v>331</v>
      </c>
      <c r="B48" s="298" t="s">
        <v>303</v>
      </c>
      <c r="C48" s="298" t="s">
        <v>318</v>
      </c>
      <c r="D48" s="298" t="s">
        <v>332</v>
      </c>
      <c r="E48" s="298">
        <v>-32496</v>
      </c>
      <c r="F48" s="299">
        <v>-39016.699999999997</v>
      </c>
      <c r="G48" s="299">
        <v>-46820</v>
      </c>
      <c r="H48" s="299">
        <v>-43328</v>
      </c>
      <c r="I48" s="298">
        <f t="shared" si="0"/>
        <v>3492</v>
      </c>
    </row>
    <row r="49" spans="1:9" x14ac:dyDescent="0.3">
      <c r="A49" s="298" t="s">
        <v>333</v>
      </c>
      <c r="B49" s="298" t="s">
        <v>287</v>
      </c>
      <c r="C49" s="298" t="s">
        <v>318</v>
      </c>
      <c r="D49" s="298" t="s">
        <v>334</v>
      </c>
      <c r="E49" s="298">
        <v>-676612.4</v>
      </c>
      <c r="F49" s="299">
        <v>-564791.69999999995</v>
      </c>
      <c r="G49" s="299">
        <v>-677750</v>
      </c>
      <c r="H49" s="299">
        <v>-689277</v>
      </c>
      <c r="I49" s="298">
        <f t="shared" si="0"/>
        <v>-11527</v>
      </c>
    </row>
    <row r="50" spans="1:9" hidden="1" x14ac:dyDescent="0.3">
      <c r="A50" s="298" t="s">
        <v>335</v>
      </c>
      <c r="B50" s="298" t="s">
        <v>293</v>
      </c>
      <c r="C50" s="298" t="s">
        <v>318</v>
      </c>
      <c r="D50" s="298" t="s">
        <v>336</v>
      </c>
      <c r="E50" s="298">
        <v>-32533.13</v>
      </c>
      <c r="F50" s="299">
        <v>-30000</v>
      </c>
      <c r="G50" s="299">
        <v>-36000</v>
      </c>
      <c r="H50" s="299">
        <v>-36000</v>
      </c>
      <c r="I50" s="298">
        <f t="shared" si="0"/>
        <v>0</v>
      </c>
    </row>
    <row r="51" spans="1:9" hidden="1" x14ac:dyDescent="0.3">
      <c r="A51" s="298" t="s">
        <v>337</v>
      </c>
      <c r="B51" s="298" t="s">
        <v>293</v>
      </c>
      <c r="C51" s="298" t="s">
        <v>318</v>
      </c>
      <c r="D51" s="298" t="s">
        <v>338</v>
      </c>
      <c r="E51" s="298">
        <v>-22913</v>
      </c>
      <c r="F51" s="299">
        <v>-20833.3</v>
      </c>
      <c r="G51" s="299">
        <v>-25000</v>
      </c>
      <c r="H51" s="299">
        <v>-25000</v>
      </c>
      <c r="I51" s="298">
        <f t="shared" si="0"/>
        <v>0</v>
      </c>
    </row>
    <row r="52" spans="1:9" hidden="1" x14ac:dyDescent="0.3">
      <c r="A52" s="298" t="s">
        <v>339</v>
      </c>
      <c r="B52" s="298" t="s">
        <v>293</v>
      </c>
      <c r="C52" s="298" t="s">
        <v>318</v>
      </c>
      <c r="D52" s="298" t="s">
        <v>340</v>
      </c>
      <c r="E52" s="298">
        <v>0</v>
      </c>
      <c r="F52" s="299">
        <v>-20833.3</v>
      </c>
      <c r="G52" s="299">
        <v>-25000</v>
      </c>
      <c r="H52" s="299">
        <v>-25000</v>
      </c>
      <c r="I52" s="298">
        <f t="shared" si="0"/>
        <v>0</v>
      </c>
    </row>
    <row r="53" spans="1:9" hidden="1" x14ac:dyDescent="0.3">
      <c r="A53" s="298" t="s">
        <v>341</v>
      </c>
      <c r="B53" s="298" t="s">
        <v>293</v>
      </c>
      <c r="C53" s="298" t="s">
        <v>318</v>
      </c>
      <c r="D53" s="298" t="s">
        <v>342</v>
      </c>
      <c r="E53" s="298">
        <v>0</v>
      </c>
      <c r="F53" s="299">
        <v>-170833.3</v>
      </c>
      <c r="G53" s="299">
        <v>-205000</v>
      </c>
      <c r="H53" s="299">
        <v>-205000</v>
      </c>
      <c r="I53" s="298">
        <f t="shared" si="0"/>
        <v>0</v>
      </c>
    </row>
    <row r="54" spans="1:9" hidden="1" x14ac:dyDescent="0.3">
      <c r="A54" s="298" t="s">
        <v>343</v>
      </c>
      <c r="B54" s="298" t="s">
        <v>293</v>
      </c>
      <c r="C54" s="298" t="s">
        <v>318</v>
      </c>
      <c r="D54" s="298" t="s">
        <v>344</v>
      </c>
      <c r="E54" s="298">
        <v>-8160</v>
      </c>
      <c r="F54" s="299">
        <v>0</v>
      </c>
      <c r="G54" s="299">
        <v>0</v>
      </c>
      <c r="H54" s="299">
        <v>-9000</v>
      </c>
      <c r="I54" s="298">
        <f t="shared" si="0"/>
        <v>-9000</v>
      </c>
    </row>
    <row r="55" spans="1:9" hidden="1" x14ac:dyDescent="0.3">
      <c r="A55" s="298" t="s">
        <v>345</v>
      </c>
      <c r="B55" s="298" t="s">
        <v>293</v>
      </c>
      <c r="C55" s="298" t="s">
        <v>318</v>
      </c>
      <c r="D55" s="298" t="s">
        <v>346</v>
      </c>
      <c r="E55" s="298">
        <v>-5720</v>
      </c>
      <c r="F55" s="299">
        <v>0</v>
      </c>
      <c r="G55" s="299">
        <v>0</v>
      </c>
      <c r="H55" s="299">
        <v>-6500</v>
      </c>
      <c r="I55" s="298">
        <f t="shared" si="0"/>
        <v>-6500</v>
      </c>
    </row>
    <row r="56" spans="1:9" hidden="1" x14ac:dyDescent="0.3">
      <c r="A56" s="298" t="s">
        <v>347</v>
      </c>
      <c r="B56" s="298" t="s">
        <v>293</v>
      </c>
      <c r="C56" s="298" t="s">
        <v>318</v>
      </c>
      <c r="D56" s="298" t="s">
        <v>348</v>
      </c>
      <c r="E56" s="298">
        <v>-9267</v>
      </c>
      <c r="F56" s="299">
        <v>0</v>
      </c>
      <c r="G56" s="299">
        <v>0</v>
      </c>
      <c r="H56" s="299">
        <v>-10000</v>
      </c>
      <c r="I56" s="298">
        <f t="shared" si="0"/>
        <v>-10000</v>
      </c>
    </row>
    <row r="57" spans="1:9" hidden="1" x14ac:dyDescent="0.3">
      <c r="A57" s="298" t="s">
        <v>349</v>
      </c>
      <c r="B57" s="298" t="s">
        <v>293</v>
      </c>
      <c r="C57" s="298" t="s">
        <v>318</v>
      </c>
      <c r="D57" s="298" t="s">
        <v>350</v>
      </c>
      <c r="E57" s="298">
        <v>-5136.5</v>
      </c>
      <c r="F57" s="299">
        <v>0</v>
      </c>
      <c r="G57" s="299">
        <v>0</v>
      </c>
      <c r="H57" s="299">
        <v>-5500</v>
      </c>
      <c r="I57" s="298">
        <f t="shared" si="0"/>
        <v>-5500</v>
      </c>
    </row>
    <row r="58" spans="1:9" hidden="1" x14ac:dyDescent="0.3">
      <c r="A58" s="298" t="s">
        <v>351</v>
      </c>
      <c r="B58" s="298" t="s">
        <v>293</v>
      </c>
      <c r="C58" s="298" t="s">
        <v>318</v>
      </c>
      <c r="D58" s="298" t="s">
        <v>352</v>
      </c>
      <c r="E58" s="298">
        <v>-4332</v>
      </c>
      <c r="F58" s="299">
        <v>0</v>
      </c>
      <c r="G58" s="299">
        <v>0</v>
      </c>
      <c r="H58" s="299">
        <v>-4500</v>
      </c>
      <c r="I58" s="298">
        <f t="shared" si="0"/>
        <v>-4500</v>
      </c>
    </row>
    <row r="59" spans="1:9" hidden="1" x14ac:dyDescent="0.3">
      <c r="A59" s="298" t="s">
        <v>353</v>
      </c>
      <c r="B59" s="298" t="s">
        <v>293</v>
      </c>
      <c r="C59" s="298" t="s">
        <v>318</v>
      </c>
      <c r="D59" s="298" t="s">
        <v>354</v>
      </c>
      <c r="E59" s="298">
        <v>-4006</v>
      </c>
      <c r="F59" s="299">
        <v>0</v>
      </c>
      <c r="G59" s="299">
        <v>0</v>
      </c>
      <c r="H59" s="299">
        <v>-4500</v>
      </c>
      <c r="I59" s="298">
        <f t="shared" si="0"/>
        <v>-4500</v>
      </c>
    </row>
    <row r="60" spans="1:9" hidden="1" x14ac:dyDescent="0.3">
      <c r="A60" s="298" t="s">
        <v>355</v>
      </c>
      <c r="B60" s="298" t="s">
        <v>293</v>
      </c>
      <c r="C60" s="298" t="s">
        <v>318</v>
      </c>
      <c r="D60" s="298" t="s">
        <v>356</v>
      </c>
      <c r="E60" s="298">
        <v>-19223</v>
      </c>
      <c r="F60" s="299">
        <v>0</v>
      </c>
      <c r="G60" s="299">
        <v>0</v>
      </c>
      <c r="H60" s="299">
        <v>-21000</v>
      </c>
      <c r="I60" s="298">
        <f t="shared" si="0"/>
        <v>-21000</v>
      </c>
    </row>
    <row r="61" spans="1:9" hidden="1" x14ac:dyDescent="0.3">
      <c r="A61" s="298" t="s">
        <v>357</v>
      </c>
      <c r="B61" s="298" t="s">
        <v>293</v>
      </c>
      <c r="C61" s="298" t="s">
        <v>318</v>
      </c>
      <c r="D61" s="298" t="s">
        <v>358</v>
      </c>
      <c r="E61" s="298">
        <v>-6297</v>
      </c>
      <c r="F61" s="299">
        <v>0</v>
      </c>
      <c r="G61" s="299">
        <v>0</v>
      </c>
      <c r="H61" s="299">
        <v>-6500</v>
      </c>
      <c r="I61" s="298">
        <f t="shared" si="0"/>
        <v>-6500</v>
      </c>
    </row>
    <row r="62" spans="1:9" hidden="1" x14ac:dyDescent="0.3">
      <c r="A62" s="298" t="s">
        <v>359</v>
      </c>
      <c r="B62" s="298" t="s">
        <v>293</v>
      </c>
      <c r="C62" s="298" t="s">
        <v>318</v>
      </c>
      <c r="D62" s="298" t="s">
        <v>360</v>
      </c>
      <c r="E62" s="298">
        <v>-5800</v>
      </c>
      <c r="F62" s="299">
        <v>0</v>
      </c>
      <c r="G62" s="299">
        <v>0</v>
      </c>
      <c r="H62" s="299">
        <v>-6200</v>
      </c>
      <c r="I62" s="298">
        <f t="shared" si="0"/>
        <v>-6200</v>
      </c>
    </row>
    <row r="63" spans="1:9" hidden="1" x14ac:dyDescent="0.3">
      <c r="A63" s="298" t="s">
        <v>361</v>
      </c>
      <c r="B63" s="298" t="s">
        <v>293</v>
      </c>
      <c r="C63" s="298" t="s">
        <v>318</v>
      </c>
      <c r="D63" s="298" t="s">
        <v>362</v>
      </c>
      <c r="E63" s="298">
        <v>-10380</v>
      </c>
      <c r="F63" s="299">
        <v>0</v>
      </c>
      <c r="G63" s="299">
        <v>0</v>
      </c>
      <c r="H63" s="299">
        <v>-11500</v>
      </c>
      <c r="I63" s="298">
        <f t="shared" si="0"/>
        <v>-11500</v>
      </c>
    </row>
    <row r="64" spans="1:9" hidden="1" x14ac:dyDescent="0.3">
      <c r="A64" s="298" t="s">
        <v>363</v>
      </c>
      <c r="B64" s="298" t="s">
        <v>293</v>
      </c>
      <c r="C64" s="298" t="s">
        <v>318</v>
      </c>
      <c r="D64" s="298" t="s">
        <v>364</v>
      </c>
      <c r="E64" s="298">
        <v>-11690</v>
      </c>
      <c r="F64" s="299">
        <v>0</v>
      </c>
      <c r="G64" s="299">
        <v>0</v>
      </c>
      <c r="H64" s="299">
        <v>-13000</v>
      </c>
      <c r="I64" s="298">
        <f t="shared" si="0"/>
        <v>-13000</v>
      </c>
    </row>
    <row r="65" spans="1:9" hidden="1" x14ac:dyDescent="0.3">
      <c r="A65" s="298" t="s">
        <v>365</v>
      </c>
      <c r="B65" s="298" t="s">
        <v>293</v>
      </c>
      <c r="C65" s="298" t="s">
        <v>318</v>
      </c>
      <c r="D65" s="298" t="s">
        <v>366</v>
      </c>
      <c r="E65" s="298">
        <v>-2393</v>
      </c>
      <c r="F65" s="299">
        <v>0</v>
      </c>
      <c r="G65" s="299">
        <v>0</v>
      </c>
      <c r="H65" s="299">
        <v>-2500</v>
      </c>
      <c r="I65" s="298">
        <f t="shared" si="0"/>
        <v>-2500</v>
      </c>
    </row>
    <row r="66" spans="1:9" hidden="1" x14ac:dyDescent="0.3">
      <c r="A66" s="298" t="s">
        <v>367</v>
      </c>
      <c r="B66" s="298" t="s">
        <v>293</v>
      </c>
      <c r="C66" s="298" t="s">
        <v>318</v>
      </c>
      <c r="D66" s="298" t="s">
        <v>368</v>
      </c>
      <c r="E66" s="298">
        <v>-9035</v>
      </c>
      <c r="F66" s="299">
        <v>0</v>
      </c>
      <c r="G66" s="299">
        <v>0</v>
      </c>
      <c r="H66" s="299">
        <v>-9500</v>
      </c>
      <c r="I66" s="298">
        <f t="shared" si="0"/>
        <v>-9500</v>
      </c>
    </row>
    <row r="67" spans="1:9" hidden="1" x14ac:dyDescent="0.3">
      <c r="A67" s="298" t="s">
        <v>369</v>
      </c>
      <c r="B67" s="298" t="s">
        <v>293</v>
      </c>
      <c r="C67" s="298" t="s">
        <v>318</v>
      </c>
      <c r="D67" s="298" t="s">
        <v>370</v>
      </c>
      <c r="E67" s="298">
        <v>-6307.55</v>
      </c>
      <c r="F67" s="299">
        <v>0</v>
      </c>
      <c r="G67" s="299">
        <v>0</v>
      </c>
      <c r="H67" s="299">
        <v>-6500</v>
      </c>
      <c r="I67" s="298">
        <f t="shared" si="0"/>
        <v>-6500</v>
      </c>
    </row>
    <row r="68" spans="1:9" hidden="1" x14ac:dyDescent="0.3">
      <c r="A68" s="298" t="s">
        <v>371</v>
      </c>
      <c r="B68" s="298" t="s">
        <v>293</v>
      </c>
      <c r="C68" s="298" t="s">
        <v>318</v>
      </c>
      <c r="D68" s="298" t="s">
        <v>372</v>
      </c>
      <c r="E68" s="298">
        <v>-5444.8</v>
      </c>
      <c r="F68" s="299">
        <v>0</v>
      </c>
      <c r="G68" s="299">
        <v>0</v>
      </c>
      <c r="H68" s="299">
        <v>-6000</v>
      </c>
      <c r="I68" s="298">
        <f t="shared" si="0"/>
        <v>-6000</v>
      </c>
    </row>
    <row r="69" spans="1:9" hidden="1" x14ac:dyDescent="0.3">
      <c r="A69" s="298" t="s">
        <v>373</v>
      </c>
      <c r="B69" s="298" t="s">
        <v>293</v>
      </c>
      <c r="C69" s="298" t="s">
        <v>318</v>
      </c>
      <c r="D69" s="298" t="s">
        <v>374</v>
      </c>
      <c r="E69" s="298">
        <v>-10854</v>
      </c>
      <c r="F69" s="299">
        <v>0</v>
      </c>
      <c r="G69" s="299">
        <v>0</v>
      </c>
      <c r="H69" s="299">
        <v>-12000</v>
      </c>
      <c r="I69" s="298">
        <f t="shared" ref="I69:I100" si="1">+H69-G69</f>
        <v>-12000</v>
      </c>
    </row>
    <row r="70" spans="1:9" hidden="1" x14ac:dyDescent="0.3">
      <c r="A70" s="298" t="s">
        <v>375</v>
      </c>
      <c r="B70" s="298" t="s">
        <v>293</v>
      </c>
      <c r="C70" s="298" t="s">
        <v>318</v>
      </c>
      <c r="D70" s="298" t="s">
        <v>376</v>
      </c>
      <c r="E70" s="298">
        <v>-5440</v>
      </c>
      <c r="F70" s="299">
        <v>0</v>
      </c>
      <c r="G70" s="299">
        <v>0</v>
      </c>
      <c r="H70" s="299">
        <v>-6000</v>
      </c>
      <c r="I70" s="298">
        <f t="shared" si="1"/>
        <v>-6000</v>
      </c>
    </row>
    <row r="71" spans="1:9" hidden="1" x14ac:dyDescent="0.3">
      <c r="A71" s="298" t="s">
        <v>377</v>
      </c>
      <c r="B71" s="298" t="s">
        <v>293</v>
      </c>
      <c r="C71" s="298" t="s">
        <v>318</v>
      </c>
      <c r="D71" s="298" t="s">
        <v>378</v>
      </c>
      <c r="E71" s="298">
        <v>-4110</v>
      </c>
      <c r="F71" s="299">
        <v>0</v>
      </c>
      <c r="G71" s="299">
        <v>0</v>
      </c>
      <c r="H71" s="299">
        <v>-4500</v>
      </c>
      <c r="I71" s="298">
        <f t="shared" si="1"/>
        <v>-4500</v>
      </c>
    </row>
    <row r="72" spans="1:9" hidden="1" x14ac:dyDescent="0.3">
      <c r="A72" s="298" t="s">
        <v>379</v>
      </c>
      <c r="B72" s="298" t="s">
        <v>293</v>
      </c>
      <c r="C72" s="298" t="s">
        <v>318</v>
      </c>
      <c r="D72" s="298" t="s">
        <v>380</v>
      </c>
      <c r="E72" s="298">
        <v>-7530</v>
      </c>
      <c r="F72" s="299">
        <v>0</v>
      </c>
      <c r="G72" s="299">
        <v>0</v>
      </c>
      <c r="H72" s="299">
        <v>-8200</v>
      </c>
      <c r="I72" s="298">
        <f t="shared" si="1"/>
        <v>-8200</v>
      </c>
    </row>
    <row r="73" spans="1:9" hidden="1" x14ac:dyDescent="0.3">
      <c r="A73" s="298" t="s">
        <v>381</v>
      </c>
      <c r="B73" s="298" t="s">
        <v>293</v>
      </c>
      <c r="C73" s="298" t="s">
        <v>318</v>
      </c>
      <c r="D73" s="298" t="s">
        <v>382</v>
      </c>
      <c r="E73" s="298">
        <v>-4350</v>
      </c>
      <c r="F73" s="299">
        <v>0</v>
      </c>
      <c r="G73" s="299">
        <v>0</v>
      </c>
      <c r="H73" s="299">
        <v>-4750</v>
      </c>
      <c r="I73" s="298">
        <f t="shared" si="1"/>
        <v>-4750</v>
      </c>
    </row>
    <row r="74" spans="1:9" hidden="1" x14ac:dyDescent="0.3">
      <c r="A74" s="298" t="s">
        <v>383</v>
      </c>
      <c r="B74" s="298" t="s">
        <v>293</v>
      </c>
      <c r="C74" s="298" t="s">
        <v>318</v>
      </c>
      <c r="D74" s="298" t="s">
        <v>384</v>
      </c>
      <c r="E74" s="298">
        <v>-4205</v>
      </c>
      <c r="F74" s="299">
        <v>0</v>
      </c>
      <c r="G74" s="299">
        <v>0</v>
      </c>
      <c r="H74" s="299">
        <v>-4750</v>
      </c>
      <c r="I74" s="298">
        <f t="shared" si="1"/>
        <v>-4750</v>
      </c>
    </row>
    <row r="75" spans="1:9" hidden="1" x14ac:dyDescent="0.3">
      <c r="A75" s="298" t="s">
        <v>385</v>
      </c>
      <c r="B75" s="298" t="s">
        <v>293</v>
      </c>
      <c r="C75" s="298" t="s">
        <v>318</v>
      </c>
      <c r="D75" s="298" t="s">
        <v>386</v>
      </c>
      <c r="E75" s="298">
        <v>-6988</v>
      </c>
      <c r="F75" s="299">
        <v>0</v>
      </c>
      <c r="G75" s="299">
        <v>0</v>
      </c>
      <c r="H75" s="299">
        <v>-7500</v>
      </c>
      <c r="I75" s="298">
        <f t="shared" si="1"/>
        <v>-7500</v>
      </c>
    </row>
    <row r="76" spans="1:9" hidden="1" x14ac:dyDescent="0.3">
      <c r="A76" s="298" t="s">
        <v>387</v>
      </c>
      <c r="B76" s="298" t="s">
        <v>293</v>
      </c>
      <c r="C76" s="298" t="s">
        <v>318</v>
      </c>
      <c r="D76" s="298" t="s">
        <v>388</v>
      </c>
      <c r="E76" s="298">
        <v>-4110</v>
      </c>
      <c r="F76" s="299">
        <v>0</v>
      </c>
      <c r="G76" s="299">
        <v>0</v>
      </c>
      <c r="H76" s="299">
        <v>-4500</v>
      </c>
      <c r="I76" s="298">
        <f t="shared" si="1"/>
        <v>-4500</v>
      </c>
    </row>
    <row r="77" spans="1:9" hidden="1" x14ac:dyDescent="0.3">
      <c r="A77" s="298" t="s">
        <v>389</v>
      </c>
      <c r="B77" s="298" t="s">
        <v>293</v>
      </c>
      <c r="C77" s="298" t="s">
        <v>318</v>
      </c>
      <c r="D77" s="298" t="s">
        <v>390</v>
      </c>
      <c r="E77" s="298">
        <v>-7913</v>
      </c>
      <c r="F77" s="299">
        <v>0</v>
      </c>
      <c r="G77" s="299">
        <v>0</v>
      </c>
      <c r="H77" s="299">
        <v>-9000</v>
      </c>
      <c r="I77" s="298">
        <f t="shared" si="1"/>
        <v>-9000</v>
      </c>
    </row>
    <row r="78" spans="1:9" hidden="1" x14ac:dyDescent="0.3">
      <c r="A78" s="298" t="s">
        <v>391</v>
      </c>
      <c r="B78" s="298" t="s">
        <v>293</v>
      </c>
      <c r="C78" s="298" t="s">
        <v>318</v>
      </c>
      <c r="D78" s="298" t="s">
        <v>392</v>
      </c>
      <c r="E78" s="298">
        <v>-5800</v>
      </c>
      <c r="F78" s="299">
        <v>0</v>
      </c>
      <c r="G78" s="299">
        <v>0</v>
      </c>
      <c r="H78" s="299">
        <v>-6500</v>
      </c>
      <c r="I78" s="298">
        <f t="shared" si="1"/>
        <v>-6500</v>
      </c>
    </row>
    <row r="79" spans="1:9" hidden="1" x14ac:dyDescent="0.3">
      <c r="A79" s="298" t="s">
        <v>393</v>
      </c>
      <c r="B79" s="298" t="s">
        <v>293</v>
      </c>
      <c r="C79" s="298" t="s">
        <v>318</v>
      </c>
      <c r="D79" s="298" t="s">
        <v>394</v>
      </c>
      <c r="E79" s="298">
        <v>-8340</v>
      </c>
      <c r="F79" s="299">
        <v>0</v>
      </c>
      <c r="G79" s="299">
        <v>0</v>
      </c>
      <c r="H79" s="299">
        <v>-9000</v>
      </c>
      <c r="I79" s="298">
        <f t="shared" si="1"/>
        <v>-9000</v>
      </c>
    </row>
    <row r="80" spans="1:9" hidden="1" x14ac:dyDescent="0.3">
      <c r="A80" s="298" t="s">
        <v>395</v>
      </c>
      <c r="B80" s="298" t="s">
        <v>293</v>
      </c>
      <c r="C80" s="298" t="s">
        <v>318</v>
      </c>
      <c r="D80" s="298" t="s">
        <v>396</v>
      </c>
      <c r="E80" s="298">
        <v>-10042</v>
      </c>
      <c r="F80" s="299">
        <v>0</v>
      </c>
      <c r="G80" s="299">
        <v>0</v>
      </c>
      <c r="H80" s="299">
        <v>-11500</v>
      </c>
      <c r="I80" s="298">
        <f t="shared" si="1"/>
        <v>-11500</v>
      </c>
    </row>
    <row r="81" spans="1:12" hidden="1" x14ac:dyDescent="0.3">
      <c r="A81" s="298" t="s">
        <v>397</v>
      </c>
      <c r="B81" s="298" t="s">
        <v>293</v>
      </c>
      <c r="C81" s="298" t="s">
        <v>318</v>
      </c>
      <c r="D81" s="298" t="s">
        <v>398</v>
      </c>
      <c r="E81" s="298">
        <v>-4674</v>
      </c>
      <c r="F81" s="299">
        <v>0</v>
      </c>
      <c r="G81" s="299">
        <v>0</v>
      </c>
      <c r="H81" s="299">
        <v>-5000</v>
      </c>
      <c r="I81" s="298">
        <f t="shared" si="1"/>
        <v>-5000</v>
      </c>
    </row>
    <row r="82" spans="1:12" hidden="1" x14ac:dyDescent="0.3">
      <c r="A82" s="298" t="s">
        <v>399</v>
      </c>
      <c r="B82" s="298" t="s">
        <v>280</v>
      </c>
      <c r="C82" s="298" t="s">
        <v>318</v>
      </c>
      <c r="D82" s="298" t="s">
        <v>400</v>
      </c>
      <c r="E82" s="298">
        <v>-27063.06</v>
      </c>
      <c r="F82" s="299">
        <v>-29166.7</v>
      </c>
      <c r="G82" s="299">
        <v>-35000</v>
      </c>
      <c r="H82" s="299">
        <v>-35000</v>
      </c>
      <c r="I82" s="298">
        <f t="shared" si="1"/>
        <v>0</v>
      </c>
    </row>
    <row r="83" spans="1:12" hidden="1" x14ac:dyDescent="0.3">
      <c r="A83" s="298" t="s">
        <v>401</v>
      </c>
      <c r="B83" s="298" t="s">
        <v>260</v>
      </c>
      <c r="C83" s="298" t="s">
        <v>315</v>
      </c>
      <c r="D83" s="298" t="s">
        <v>316</v>
      </c>
      <c r="E83" s="298">
        <v>-9940</v>
      </c>
      <c r="F83" s="299">
        <v>0</v>
      </c>
      <c r="G83" s="299">
        <v>0</v>
      </c>
      <c r="H83" s="299">
        <v>-7200</v>
      </c>
      <c r="I83" s="298">
        <f t="shared" si="1"/>
        <v>-7200</v>
      </c>
    </row>
    <row r="84" spans="1:12" hidden="1" x14ac:dyDescent="0.3">
      <c r="A84" s="298" t="s">
        <v>405</v>
      </c>
      <c r="B84" s="298" t="s">
        <v>247</v>
      </c>
      <c r="C84" s="298" t="s">
        <v>435</v>
      </c>
      <c r="D84" s="298" t="s">
        <v>436</v>
      </c>
      <c r="E84" s="298">
        <v>-39372.26</v>
      </c>
      <c r="F84" s="299">
        <v>0</v>
      </c>
      <c r="G84" s="299">
        <v>0</v>
      </c>
      <c r="H84" s="303"/>
      <c r="I84" s="298">
        <f t="shared" si="1"/>
        <v>0</v>
      </c>
    </row>
    <row r="85" spans="1:12" hidden="1" x14ac:dyDescent="0.3">
      <c r="A85" s="298" t="s">
        <v>407</v>
      </c>
      <c r="B85" s="298" t="s">
        <v>257</v>
      </c>
      <c r="C85" s="298" t="s">
        <v>435</v>
      </c>
      <c r="D85" s="298" t="s">
        <v>440</v>
      </c>
      <c r="E85" s="298">
        <v>-23109.439999999999</v>
      </c>
      <c r="F85" s="299">
        <v>0</v>
      </c>
      <c r="G85" s="299">
        <v>0</v>
      </c>
      <c r="H85" s="303"/>
      <c r="I85" s="298">
        <f t="shared" si="1"/>
        <v>0</v>
      </c>
    </row>
    <row r="86" spans="1:12" hidden="1" x14ac:dyDescent="0.3">
      <c r="A86" s="298" t="s">
        <v>411</v>
      </c>
      <c r="B86" s="298" t="s">
        <v>290</v>
      </c>
      <c r="C86" s="298" t="s">
        <v>435</v>
      </c>
      <c r="D86" s="298" t="s">
        <v>444</v>
      </c>
      <c r="E86" s="298">
        <v>-2636.52</v>
      </c>
      <c r="F86" s="299">
        <v>0</v>
      </c>
      <c r="G86" s="299">
        <v>0</v>
      </c>
      <c r="H86" s="303"/>
      <c r="I86" s="298">
        <f t="shared" si="1"/>
        <v>0</v>
      </c>
    </row>
    <row r="87" spans="1:12" hidden="1" x14ac:dyDescent="0.3">
      <c r="A87" s="298" t="s">
        <v>414</v>
      </c>
      <c r="B87" s="298" t="s">
        <v>402</v>
      </c>
      <c r="C87" s="298" t="s">
        <v>432</v>
      </c>
      <c r="D87" s="298" t="s">
        <v>433</v>
      </c>
      <c r="E87" s="298">
        <v>-784340.85</v>
      </c>
      <c r="F87" s="299">
        <v>-116916.7</v>
      </c>
      <c r="G87" s="299">
        <v>-140300</v>
      </c>
      <c r="H87" s="299">
        <v>-233552</v>
      </c>
      <c r="I87" s="298">
        <f t="shared" si="1"/>
        <v>-93252</v>
      </c>
    </row>
    <row r="88" spans="1:12" hidden="1" x14ac:dyDescent="0.3">
      <c r="A88" s="298" t="s">
        <v>417</v>
      </c>
      <c r="B88" s="298" t="s">
        <v>251</v>
      </c>
      <c r="C88" s="298" t="s">
        <v>432</v>
      </c>
      <c r="D88" s="298" t="s">
        <v>438</v>
      </c>
      <c r="E88" s="298">
        <v>-617087.29</v>
      </c>
      <c r="F88" s="299">
        <v>-594766.69999999995</v>
      </c>
      <c r="G88" s="299">
        <v>-713720</v>
      </c>
      <c r="H88" s="299">
        <v>-1121886</v>
      </c>
      <c r="I88" s="298">
        <f t="shared" si="1"/>
        <v>-408166</v>
      </c>
    </row>
    <row r="89" spans="1:12" hidden="1" x14ac:dyDescent="0.3">
      <c r="A89" s="298" t="s">
        <v>419</v>
      </c>
      <c r="B89" s="298" t="s">
        <v>303</v>
      </c>
      <c r="C89" s="298" t="s">
        <v>432</v>
      </c>
      <c r="D89" s="298" t="s">
        <v>442</v>
      </c>
      <c r="E89" s="298">
        <v>-9549.93</v>
      </c>
      <c r="F89" s="299">
        <v>-833.3</v>
      </c>
      <c r="G89" s="299">
        <v>-1000</v>
      </c>
      <c r="H89" s="299">
        <v>-10000</v>
      </c>
      <c r="I89" s="298">
        <f t="shared" si="1"/>
        <v>-9000</v>
      </c>
    </row>
    <row r="90" spans="1:12" hidden="1" x14ac:dyDescent="0.3">
      <c r="A90" s="298" t="s">
        <v>431</v>
      </c>
      <c r="B90" s="298" t="s">
        <v>251</v>
      </c>
      <c r="C90" s="298" t="s">
        <v>432</v>
      </c>
      <c r="D90" s="298" t="s">
        <v>446</v>
      </c>
      <c r="E90" s="298">
        <v>413745.67</v>
      </c>
      <c r="F90" s="299">
        <v>0</v>
      </c>
      <c r="G90" s="299">
        <v>0</v>
      </c>
      <c r="H90" s="303"/>
      <c r="I90" s="298">
        <f t="shared" si="1"/>
        <v>0</v>
      </c>
    </row>
    <row r="91" spans="1:12" hidden="1" x14ac:dyDescent="0.3">
      <c r="A91" s="298" t="s">
        <v>434</v>
      </c>
      <c r="B91" s="298" t="s">
        <v>402</v>
      </c>
      <c r="C91" s="298" t="s">
        <v>403</v>
      </c>
      <c r="D91" s="298" t="s">
        <v>404</v>
      </c>
      <c r="E91" s="298">
        <v>-10268.74</v>
      </c>
      <c r="F91" s="299">
        <v>0</v>
      </c>
      <c r="G91" s="299">
        <v>0</v>
      </c>
      <c r="H91" s="303"/>
      <c r="I91" s="298">
        <f t="shared" si="1"/>
        <v>0</v>
      </c>
    </row>
    <row r="92" spans="1:12" hidden="1" x14ac:dyDescent="0.3">
      <c r="A92" s="298" t="s">
        <v>437</v>
      </c>
      <c r="B92" s="298" t="s">
        <v>402</v>
      </c>
      <c r="C92" s="298" t="s">
        <v>403</v>
      </c>
      <c r="D92" s="298" t="s">
        <v>406</v>
      </c>
      <c r="E92" s="298">
        <v>-34382.080000000002</v>
      </c>
      <c r="F92" s="299">
        <v>0</v>
      </c>
      <c r="G92" s="299">
        <v>0</v>
      </c>
      <c r="H92" s="303"/>
      <c r="I92" s="298">
        <f t="shared" si="1"/>
        <v>0</v>
      </c>
    </row>
    <row r="93" spans="1:12" hidden="1" x14ac:dyDescent="0.3">
      <c r="A93" s="298" t="s">
        <v>439</v>
      </c>
      <c r="B93" s="298" t="s">
        <v>422</v>
      </c>
      <c r="C93" s="298" t="s">
        <v>409</v>
      </c>
      <c r="D93" s="298" t="s">
        <v>423</v>
      </c>
      <c r="E93" s="298">
        <v>-97721.63</v>
      </c>
      <c r="F93" s="299">
        <v>0</v>
      </c>
      <c r="G93" s="299">
        <v>0</v>
      </c>
      <c r="H93" s="303"/>
      <c r="I93" s="298">
        <f t="shared" si="1"/>
        <v>0</v>
      </c>
      <c r="J93" t="s">
        <v>2722</v>
      </c>
    </row>
    <row r="94" spans="1:12" hidden="1" x14ac:dyDescent="0.3">
      <c r="A94" s="298" t="s">
        <v>441</v>
      </c>
      <c r="B94" s="298" t="s">
        <v>425</v>
      </c>
      <c r="C94" s="298" t="s">
        <v>409</v>
      </c>
      <c r="D94" s="298" t="s">
        <v>426</v>
      </c>
      <c r="E94" s="298">
        <v>-20637.57</v>
      </c>
      <c r="F94" s="299">
        <v>0</v>
      </c>
      <c r="G94" s="299">
        <v>0</v>
      </c>
      <c r="H94" s="299">
        <v>-20000</v>
      </c>
      <c r="I94" s="298">
        <f t="shared" si="1"/>
        <v>-20000</v>
      </c>
    </row>
    <row r="95" spans="1:12" hidden="1" x14ac:dyDescent="0.3">
      <c r="A95" s="298" t="s">
        <v>443</v>
      </c>
      <c r="B95" s="298" t="s">
        <v>412</v>
      </c>
      <c r="C95" s="298" t="s">
        <v>409</v>
      </c>
      <c r="D95" s="298" t="s">
        <v>428</v>
      </c>
      <c r="E95" s="298">
        <v>-49000</v>
      </c>
      <c r="F95" s="299">
        <v>0</v>
      </c>
      <c r="G95" s="299">
        <v>0</v>
      </c>
      <c r="H95" s="299">
        <v>-78000</v>
      </c>
      <c r="I95" s="298">
        <f t="shared" si="1"/>
        <v>-78000</v>
      </c>
    </row>
    <row r="96" spans="1:12" hidden="1" x14ac:dyDescent="0.3">
      <c r="A96" s="298" t="s">
        <v>445</v>
      </c>
      <c r="B96" s="298" t="s">
        <v>412</v>
      </c>
      <c r="C96" s="298" t="s">
        <v>409</v>
      </c>
      <c r="D96" s="298" t="s">
        <v>430</v>
      </c>
      <c r="E96" s="298">
        <v>-112811</v>
      </c>
      <c r="F96" s="299">
        <v>0</v>
      </c>
      <c r="G96" s="299">
        <v>0</v>
      </c>
      <c r="H96" s="302">
        <v>-52576</v>
      </c>
      <c r="I96" s="298">
        <f t="shared" si="1"/>
        <v>-52576</v>
      </c>
      <c r="J96" t="s">
        <v>2723</v>
      </c>
      <c r="L96" s="304"/>
    </row>
    <row r="97" spans="1:11" hidden="1" x14ac:dyDescent="0.3">
      <c r="A97" s="298" t="s">
        <v>447</v>
      </c>
      <c r="B97" s="298" t="s">
        <v>408</v>
      </c>
      <c r="C97" s="298" t="s">
        <v>409</v>
      </c>
      <c r="D97" s="298" t="s">
        <v>410</v>
      </c>
      <c r="E97" s="298">
        <v>-11712.61</v>
      </c>
      <c r="F97" s="299">
        <v>0</v>
      </c>
      <c r="G97" s="299">
        <v>0</v>
      </c>
      <c r="H97" s="299">
        <v>-12000</v>
      </c>
      <c r="I97" s="298">
        <f t="shared" si="1"/>
        <v>-12000</v>
      </c>
    </row>
    <row r="98" spans="1:11" hidden="1" x14ac:dyDescent="0.3">
      <c r="A98" s="298" t="s">
        <v>450</v>
      </c>
      <c r="B98" s="298" t="s">
        <v>454</v>
      </c>
      <c r="C98" s="298" t="s">
        <v>451</v>
      </c>
      <c r="D98" s="298" t="s">
        <v>455</v>
      </c>
      <c r="E98" s="298">
        <v>224662.15</v>
      </c>
      <c r="F98" s="299">
        <v>219500</v>
      </c>
      <c r="G98" s="299">
        <v>263400</v>
      </c>
      <c r="H98" s="299"/>
      <c r="I98" s="298">
        <f t="shared" si="1"/>
        <v>-263400</v>
      </c>
    </row>
    <row r="99" spans="1:11" hidden="1" x14ac:dyDescent="0.3">
      <c r="A99" s="298" t="s">
        <v>453</v>
      </c>
      <c r="B99" s="298" t="s">
        <v>457</v>
      </c>
      <c r="C99" s="298" t="s">
        <v>451</v>
      </c>
      <c r="D99" s="298" t="s">
        <v>458</v>
      </c>
      <c r="E99" s="298">
        <v>210802.41</v>
      </c>
      <c r="F99" s="299">
        <v>201666.7</v>
      </c>
      <c r="G99" s="299">
        <v>242000</v>
      </c>
      <c r="H99" s="299"/>
      <c r="I99" s="298">
        <f t="shared" si="1"/>
        <v>-242000</v>
      </c>
    </row>
    <row r="100" spans="1:11" hidden="1" x14ac:dyDescent="0.3">
      <c r="A100" s="298" t="s">
        <v>456</v>
      </c>
      <c r="B100" s="305" t="s">
        <v>460</v>
      </c>
      <c r="C100" s="305" t="s">
        <v>451</v>
      </c>
      <c r="D100" s="305" t="s">
        <v>461</v>
      </c>
      <c r="E100" s="305">
        <v>136445.25</v>
      </c>
      <c r="F100" s="306">
        <v>142250</v>
      </c>
      <c r="G100" s="306">
        <v>170700</v>
      </c>
      <c r="H100" s="306"/>
      <c r="I100" s="298">
        <f t="shared" si="1"/>
        <v>-170700</v>
      </c>
      <c r="J100" s="191"/>
      <c r="K100" s="191"/>
    </row>
    <row r="101" spans="1:11" hidden="1" x14ac:dyDescent="0.3">
      <c r="A101" s="298" t="s">
        <v>459</v>
      </c>
      <c r="B101" s="298" t="s">
        <v>402</v>
      </c>
      <c r="C101" s="298" t="s">
        <v>451</v>
      </c>
      <c r="D101" s="298" t="s">
        <v>463</v>
      </c>
      <c r="E101" s="298">
        <v>60414.21</v>
      </c>
      <c r="F101" s="299">
        <v>59500</v>
      </c>
      <c r="G101" s="299">
        <v>71400</v>
      </c>
      <c r="H101" s="299"/>
      <c r="I101" s="299"/>
      <c r="J101" t="s">
        <v>2724</v>
      </c>
    </row>
    <row r="102" spans="1:11" hidden="1" x14ac:dyDescent="0.3">
      <c r="A102" s="298" t="s">
        <v>462</v>
      </c>
      <c r="B102" s="298" t="s">
        <v>465</v>
      </c>
      <c r="C102" s="298" t="s">
        <v>451</v>
      </c>
      <c r="D102" s="298" t="s">
        <v>466</v>
      </c>
      <c r="E102" s="298">
        <v>81109.81</v>
      </c>
      <c r="F102" s="299">
        <v>0</v>
      </c>
      <c r="G102" s="299">
        <v>0</v>
      </c>
      <c r="H102" s="299"/>
      <c r="I102" s="299"/>
    </row>
    <row r="103" spans="1:11" hidden="1" x14ac:dyDescent="0.3">
      <c r="A103" s="298" t="s">
        <v>464</v>
      </c>
      <c r="B103" s="298" t="s">
        <v>468</v>
      </c>
      <c r="C103" s="298" t="s">
        <v>451</v>
      </c>
      <c r="D103" s="298" t="s">
        <v>469</v>
      </c>
      <c r="E103" s="298">
        <v>118185.39</v>
      </c>
      <c r="F103" s="299">
        <v>113166.7</v>
      </c>
      <c r="G103" s="299">
        <v>135800</v>
      </c>
      <c r="H103" s="299"/>
      <c r="I103" s="299"/>
    </row>
    <row r="104" spans="1:11" hidden="1" x14ac:dyDescent="0.3">
      <c r="A104" s="298" t="s">
        <v>467</v>
      </c>
      <c r="B104" s="298" t="s">
        <v>422</v>
      </c>
      <c r="C104" s="298" t="s">
        <v>451</v>
      </c>
      <c r="D104" s="298" t="s">
        <v>483</v>
      </c>
      <c r="E104" s="298">
        <v>99142.44</v>
      </c>
      <c r="F104" s="299">
        <v>96583.3</v>
      </c>
      <c r="G104" s="299">
        <v>115900</v>
      </c>
      <c r="H104" s="299"/>
      <c r="I104" s="299"/>
    </row>
    <row r="105" spans="1:11" hidden="1" x14ac:dyDescent="0.3">
      <c r="A105" s="298" t="s">
        <v>470</v>
      </c>
      <c r="B105" s="298" t="s">
        <v>497</v>
      </c>
      <c r="C105" s="298" t="s">
        <v>451</v>
      </c>
      <c r="D105" s="298" t="s">
        <v>498</v>
      </c>
      <c r="E105" s="298">
        <v>121198.54</v>
      </c>
      <c r="F105" s="299">
        <v>116666.7</v>
      </c>
      <c r="G105" s="299">
        <v>140000</v>
      </c>
      <c r="H105" s="299"/>
      <c r="I105" s="299"/>
    </row>
    <row r="106" spans="1:11" hidden="1" x14ac:dyDescent="0.3">
      <c r="A106" s="298" t="s">
        <v>472</v>
      </c>
      <c r="B106" s="298" t="s">
        <v>422</v>
      </c>
      <c r="C106" s="298" t="s">
        <v>451</v>
      </c>
      <c r="D106" s="298" t="s">
        <v>516</v>
      </c>
      <c r="E106" s="298">
        <v>51476.28</v>
      </c>
      <c r="F106" s="299">
        <v>59500</v>
      </c>
      <c r="G106" s="299">
        <v>71400</v>
      </c>
      <c r="H106" s="299"/>
      <c r="I106" s="299"/>
    </row>
    <row r="107" spans="1:11" hidden="1" x14ac:dyDescent="0.3">
      <c r="A107" s="298" t="s">
        <v>475</v>
      </c>
      <c r="B107" s="298" t="s">
        <v>524</v>
      </c>
      <c r="C107" s="298" t="s">
        <v>451</v>
      </c>
      <c r="D107" s="298" t="s">
        <v>525</v>
      </c>
      <c r="E107" s="298">
        <v>269273.36</v>
      </c>
      <c r="F107" s="299">
        <v>289666.7</v>
      </c>
      <c r="G107" s="299">
        <v>347600</v>
      </c>
      <c r="H107" s="299"/>
      <c r="I107" s="299"/>
    </row>
    <row r="108" spans="1:11" hidden="1" x14ac:dyDescent="0.3">
      <c r="A108" s="298" t="s">
        <v>477</v>
      </c>
      <c r="B108" s="298" t="s">
        <v>422</v>
      </c>
      <c r="C108" s="298" t="s">
        <v>451</v>
      </c>
      <c r="D108" s="298" t="s">
        <v>527</v>
      </c>
      <c r="E108" s="298">
        <v>115985.25</v>
      </c>
      <c r="F108" s="299">
        <v>114833.3</v>
      </c>
      <c r="G108" s="299">
        <v>137800</v>
      </c>
      <c r="H108" s="299"/>
      <c r="I108" s="299"/>
    </row>
    <row r="109" spans="1:11" hidden="1" x14ac:dyDescent="0.3">
      <c r="A109" s="298" t="s">
        <v>479</v>
      </c>
      <c r="B109" s="298" t="s">
        <v>293</v>
      </c>
      <c r="C109" s="298" t="s">
        <v>451</v>
      </c>
      <c r="D109" s="298" t="s">
        <v>568</v>
      </c>
      <c r="E109" s="298">
        <v>90233.83</v>
      </c>
      <c r="F109" s="299">
        <v>91333.3</v>
      </c>
      <c r="G109" s="299">
        <v>109600</v>
      </c>
      <c r="H109" s="299"/>
      <c r="I109" s="299"/>
    </row>
    <row r="110" spans="1:11" hidden="1" x14ac:dyDescent="0.3">
      <c r="A110" s="298" t="s">
        <v>482</v>
      </c>
      <c r="B110" s="298" t="s">
        <v>422</v>
      </c>
      <c r="C110" s="298" t="s">
        <v>451</v>
      </c>
      <c r="D110" s="298" t="s">
        <v>570</v>
      </c>
      <c r="E110" s="298">
        <v>79528.69</v>
      </c>
      <c r="F110" s="299">
        <v>38333.300000000003</v>
      </c>
      <c r="G110" s="299">
        <v>46000</v>
      </c>
      <c r="H110" s="299"/>
      <c r="I110" s="299"/>
    </row>
    <row r="111" spans="1:11" hidden="1" x14ac:dyDescent="0.3">
      <c r="A111" s="298" t="s">
        <v>484</v>
      </c>
      <c r="B111" s="298" t="s">
        <v>457</v>
      </c>
      <c r="C111" s="298" t="s">
        <v>451</v>
      </c>
      <c r="D111" s="298" t="s">
        <v>572</v>
      </c>
      <c r="E111" s="298">
        <v>32478.6</v>
      </c>
      <c r="F111" s="299">
        <v>36333.300000000003</v>
      </c>
      <c r="G111" s="299">
        <v>43600</v>
      </c>
      <c r="H111" s="299"/>
      <c r="I111" s="299"/>
    </row>
    <row r="112" spans="1:11" hidden="1" x14ac:dyDescent="0.3">
      <c r="A112" s="298" t="s">
        <v>487</v>
      </c>
      <c r="B112" s="298" t="s">
        <v>402</v>
      </c>
      <c r="C112" s="298" t="s">
        <v>451</v>
      </c>
      <c r="D112" s="298" t="s">
        <v>574</v>
      </c>
      <c r="E112" s="298">
        <v>20119.12</v>
      </c>
      <c r="F112" s="299">
        <v>0</v>
      </c>
      <c r="G112" s="299">
        <v>0</v>
      </c>
      <c r="H112" s="299"/>
      <c r="I112" s="299"/>
    </row>
    <row r="113" spans="1:9" hidden="1" x14ac:dyDescent="0.3">
      <c r="A113" s="298" t="s">
        <v>489</v>
      </c>
      <c r="B113" s="298" t="s">
        <v>280</v>
      </c>
      <c r="C113" s="298" t="s">
        <v>451</v>
      </c>
      <c r="D113" s="298" t="s">
        <v>589</v>
      </c>
      <c r="E113" s="298">
        <v>22664.28</v>
      </c>
      <c r="F113" s="299">
        <v>0</v>
      </c>
      <c r="G113" s="299">
        <v>0</v>
      </c>
      <c r="H113" s="299"/>
      <c r="I113" s="299"/>
    </row>
    <row r="114" spans="1:9" hidden="1" x14ac:dyDescent="0.3">
      <c r="A114" s="298" t="s">
        <v>492</v>
      </c>
      <c r="B114" s="298" t="s">
        <v>422</v>
      </c>
      <c r="C114" s="298" t="s">
        <v>451</v>
      </c>
      <c r="D114" s="298" t="s">
        <v>619</v>
      </c>
      <c r="E114" s="298">
        <v>17737.63</v>
      </c>
      <c r="F114" s="299">
        <v>12500</v>
      </c>
      <c r="G114" s="299">
        <v>15000</v>
      </c>
      <c r="H114" s="299"/>
      <c r="I114" s="299"/>
    </row>
    <row r="115" spans="1:9" hidden="1" x14ac:dyDescent="0.3">
      <c r="A115" s="298" t="s">
        <v>494</v>
      </c>
      <c r="B115" s="298" t="s">
        <v>422</v>
      </c>
      <c r="C115" s="298" t="s">
        <v>451</v>
      </c>
      <c r="D115" s="298" t="s">
        <v>629</v>
      </c>
      <c r="E115" s="298">
        <v>41537.51</v>
      </c>
      <c r="F115" s="299">
        <v>25000</v>
      </c>
      <c r="G115" s="299">
        <v>15000</v>
      </c>
      <c r="H115" s="299"/>
      <c r="I115" s="299"/>
    </row>
    <row r="116" spans="1:9" hidden="1" x14ac:dyDescent="0.3">
      <c r="A116" s="298" t="s">
        <v>496</v>
      </c>
      <c r="B116" s="298" t="s">
        <v>422</v>
      </c>
      <c r="C116" s="298" t="s">
        <v>451</v>
      </c>
      <c r="D116" s="298" t="s">
        <v>671</v>
      </c>
      <c r="E116" s="298">
        <v>12946.35</v>
      </c>
      <c r="F116" s="299">
        <v>13000</v>
      </c>
      <c r="G116" s="299">
        <v>15600</v>
      </c>
      <c r="H116" s="299"/>
      <c r="I116" s="299"/>
    </row>
    <row r="117" spans="1:9" hidden="1" x14ac:dyDescent="0.3">
      <c r="A117" s="298" t="s">
        <v>499</v>
      </c>
      <c r="B117" s="298" t="s">
        <v>460</v>
      </c>
      <c r="C117" s="298" t="s">
        <v>451</v>
      </c>
      <c r="D117" s="298" t="s">
        <v>673</v>
      </c>
      <c r="E117" s="298">
        <v>12900</v>
      </c>
      <c r="F117" s="299">
        <v>13000</v>
      </c>
      <c r="G117" s="299">
        <v>15600</v>
      </c>
      <c r="H117" s="299"/>
      <c r="I117" s="299"/>
    </row>
    <row r="118" spans="1:9" hidden="1" x14ac:dyDescent="0.3">
      <c r="A118" s="298" t="s">
        <v>503</v>
      </c>
      <c r="B118" s="298" t="s">
        <v>412</v>
      </c>
      <c r="C118" s="298" t="s">
        <v>549</v>
      </c>
      <c r="D118" s="298" t="s">
        <v>550</v>
      </c>
      <c r="E118" s="298">
        <v>225326.6</v>
      </c>
      <c r="F118" s="299">
        <v>232750</v>
      </c>
      <c r="G118" s="299">
        <v>279300</v>
      </c>
      <c r="H118" s="299"/>
      <c r="I118" s="299"/>
    </row>
    <row r="119" spans="1:9" hidden="1" x14ac:dyDescent="0.3">
      <c r="A119" s="298" t="s">
        <v>505</v>
      </c>
      <c r="B119" s="298" t="s">
        <v>290</v>
      </c>
      <c r="C119" s="298" t="s">
        <v>549</v>
      </c>
      <c r="D119" s="298" t="s">
        <v>564</v>
      </c>
      <c r="E119" s="298">
        <v>95285.02</v>
      </c>
      <c r="F119" s="299">
        <v>93500</v>
      </c>
      <c r="G119" s="299">
        <v>112200</v>
      </c>
      <c r="H119" s="299"/>
      <c r="I119" s="299"/>
    </row>
    <row r="120" spans="1:9" hidden="1" x14ac:dyDescent="0.3">
      <c r="A120" s="298" t="s">
        <v>507</v>
      </c>
      <c r="B120" s="298" t="s">
        <v>422</v>
      </c>
      <c r="C120" s="298" t="s">
        <v>677</v>
      </c>
      <c r="D120" s="298" t="s">
        <v>678</v>
      </c>
      <c r="E120" s="298">
        <v>12632.4</v>
      </c>
      <c r="F120" s="299">
        <v>15583.3</v>
      </c>
      <c r="G120" s="299">
        <v>18700</v>
      </c>
      <c r="H120" s="299"/>
      <c r="I120" s="299"/>
    </row>
    <row r="121" spans="1:9" hidden="1" x14ac:dyDescent="0.3">
      <c r="A121" s="298" t="s">
        <v>510</v>
      </c>
      <c r="B121" s="298" t="s">
        <v>454</v>
      </c>
      <c r="C121" s="298" t="s">
        <v>677</v>
      </c>
      <c r="D121" s="298" t="s">
        <v>680</v>
      </c>
      <c r="E121" s="298">
        <v>9960.9699999999993</v>
      </c>
      <c r="F121" s="299">
        <v>8833.2999999999993</v>
      </c>
      <c r="G121" s="299">
        <v>10600</v>
      </c>
      <c r="H121" s="299"/>
      <c r="I121" s="299"/>
    </row>
    <row r="122" spans="1:9" hidden="1" x14ac:dyDescent="0.3">
      <c r="A122" s="298" t="s">
        <v>513</v>
      </c>
      <c r="B122" s="298" t="s">
        <v>457</v>
      </c>
      <c r="C122" s="298" t="s">
        <v>677</v>
      </c>
      <c r="D122" s="298" t="s">
        <v>682</v>
      </c>
      <c r="E122" s="298">
        <v>9715.24</v>
      </c>
      <c r="F122" s="299">
        <v>10500</v>
      </c>
      <c r="G122" s="299">
        <v>12600</v>
      </c>
      <c r="H122" s="299"/>
      <c r="I122" s="299"/>
    </row>
    <row r="123" spans="1:9" hidden="1" x14ac:dyDescent="0.3">
      <c r="A123" s="298" t="s">
        <v>515</v>
      </c>
      <c r="B123" s="298" t="s">
        <v>460</v>
      </c>
      <c r="C123" s="298" t="s">
        <v>677</v>
      </c>
      <c r="D123" s="298" t="s">
        <v>684</v>
      </c>
      <c r="E123" s="298">
        <v>7074.62</v>
      </c>
      <c r="F123" s="299">
        <v>7166.7</v>
      </c>
      <c r="G123" s="299">
        <v>8600</v>
      </c>
      <c r="H123" s="299"/>
      <c r="I123" s="299"/>
    </row>
    <row r="124" spans="1:9" hidden="1" x14ac:dyDescent="0.3">
      <c r="A124" s="298" t="s">
        <v>517</v>
      </c>
      <c r="B124" s="298" t="s">
        <v>402</v>
      </c>
      <c r="C124" s="298" t="s">
        <v>677</v>
      </c>
      <c r="D124" s="298" t="s">
        <v>686</v>
      </c>
      <c r="E124" s="298">
        <v>3132.79</v>
      </c>
      <c r="F124" s="299">
        <v>2250</v>
      </c>
      <c r="G124" s="299">
        <v>2700</v>
      </c>
      <c r="H124" s="299"/>
      <c r="I124" s="299"/>
    </row>
    <row r="125" spans="1:9" hidden="1" x14ac:dyDescent="0.3">
      <c r="A125" s="298" t="s">
        <v>519</v>
      </c>
      <c r="B125" s="298" t="s">
        <v>465</v>
      </c>
      <c r="C125" s="298" t="s">
        <v>677</v>
      </c>
      <c r="D125" s="298" t="s">
        <v>688</v>
      </c>
      <c r="E125" s="298">
        <v>3774.34</v>
      </c>
      <c r="F125" s="299">
        <v>0</v>
      </c>
      <c r="G125" s="299">
        <v>0</v>
      </c>
      <c r="H125" s="299"/>
      <c r="I125" s="299"/>
    </row>
    <row r="126" spans="1:9" hidden="1" x14ac:dyDescent="0.3">
      <c r="A126" s="298" t="s">
        <v>521</v>
      </c>
      <c r="B126" s="298" t="s">
        <v>468</v>
      </c>
      <c r="C126" s="298" t="s">
        <v>677</v>
      </c>
      <c r="D126" s="298" t="s">
        <v>690</v>
      </c>
      <c r="E126" s="298">
        <v>3906.89</v>
      </c>
      <c r="F126" s="299">
        <v>4166.7</v>
      </c>
      <c r="G126" s="299">
        <v>5000</v>
      </c>
      <c r="H126" s="299"/>
      <c r="I126" s="299"/>
    </row>
    <row r="127" spans="1:9" hidden="1" x14ac:dyDescent="0.3">
      <c r="A127" s="298" t="s">
        <v>523</v>
      </c>
      <c r="B127" s="298" t="s">
        <v>422</v>
      </c>
      <c r="C127" s="298" t="s">
        <v>677</v>
      </c>
      <c r="D127" s="298" t="s">
        <v>703</v>
      </c>
      <c r="E127" s="298">
        <v>5551.93</v>
      </c>
      <c r="F127" s="299">
        <v>5416.7</v>
      </c>
      <c r="G127" s="299">
        <v>6500</v>
      </c>
      <c r="H127" s="299"/>
      <c r="I127" s="299"/>
    </row>
    <row r="128" spans="1:9" hidden="1" x14ac:dyDescent="0.3">
      <c r="A128" s="298" t="s">
        <v>526</v>
      </c>
      <c r="B128" s="298" t="s">
        <v>425</v>
      </c>
      <c r="C128" s="298" t="s">
        <v>677</v>
      </c>
      <c r="D128" s="298" t="s">
        <v>728</v>
      </c>
      <c r="E128" s="298">
        <v>2034.44</v>
      </c>
      <c r="F128" s="299">
        <v>0</v>
      </c>
      <c r="G128" s="299">
        <v>0</v>
      </c>
      <c r="H128" s="299"/>
      <c r="I128" s="299"/>
    </row>
    <row r="129" spans="1:9" hidden="1" x14ac:dyDescent="0.3">
      <c r="A129" s="298" t="s">
        <v>528</v>
      </c>
      <c r="B129" s="298" t="s">
        <v>422</v>
      </c>
      <c r="C129" s="298" t="s">
        <v>677</v>
      </c>
      <c r="D129" s="298" t="s">
        <v>730</v>
      </c>
      <c r="E129" s="298">
        <v>1977.47</v>
      </c>
      <c r="F129" s="299">
        <v>2250</v>
      </c>
      <c r="G129" s="299">
        <v>2700</v>
      </c>
      <c r="H129" s="299"/>
      <c r="I129" s="299"/>
    </row>
    <row r="130" spans="1:9" hidden="1" x14ac:dyDescent="0.3">
      <c r="A130" s="298" t="s">
        <v>530</v>
      </c>
      <c r="B130" s="298" t="s">
        <v>524</v>
      </c>
      <c r="C130" s="298" t="s">
        <v>677</v>
      </c>
      <c r="D130" s="298" t="s">
        <v>740</v>
      </c>
      <c r="E130" s="298">
        <v>10063.91</v>
      </c>
      <c r="F130" s="299">
        <v>11083.3</v>
      </c>
      <c r="G130" s="299">
        <v>13300</v>
      </c>
      <c r="H130" s="299"/>
      <c r="I130" s="299"/>
    </row>
    <row r="131" spans="1:9" hidden="1" x14ac:dyDescent="0.3">
      <c r="A131" s="298" t="s">
        <v>532</v>
      </c>
      <c r="B131" s="298" t="s">
        <v>422</v>
      </c>
      <c r="C131" s="298" t="s">
        <v>677</v>
      </c>
      <c r="D131" s="298" t="s">
        <v>742</v>
      </c>
      <c r="E131" s="298">
        <v>4899.78</v>
      </c>
      <c r="F131" s="299">
        <v>5250</v>
      </c>
      <c r="G131" s="299">
        <v>6300</v>
      </c>
      <c r="H131" s="299"/>
      <c r="I131" s="299"/>
    </row>
    <row r="132" spans="1:9" hidden="1" x14ac:dyDescent="0.3">
      <c r="A132" s="298" t="s">
        <v>534</v>
      </c>
      <c r="B132" s="298" t="s">
        <v>412</v>
      </c>
      <c r="C132" s="298" t="s">
        <v>677</v>
      </c>
      <c r="D132" s="298" t="s">
        <v>784</v>
      </c>
      <c r="E132" s="298">
        <v>6530.9</v>
      </c>
      <c r="F132" s="299">
        <v>0</v>
      </c>
      <c r="G132" s="299">
        <v>0</v>
      </c>
      <c r="H132" s="299"/>
      <c r="I132" s="299"/>
    </row>
    <row r="133" spans="1:9" hidden="1" x14ac:dyDescent="0.3">
      <c r="A133" s="298" t="s">
        <v>536</v>
      </c>
      <c r="B133" s="298" t="s">
        <v>293</v>
      </c>
      <c r="C133" s="298" t="s">
        <v>677</v>
      </c>
      <c r="D133" s="298" t="s">
        <v>786</v>
      </c>
      <c r="E133" s="298">
        <v>4131.78</v>
      </c>
      <c r="F133" s="299">
        <v>4666.7</v>
      </c>
      <c r="G133" s="299">
        <v>5600</v>
      </c>
      <c r="H133" s="299"/>
      <c r="I133" s="299"/>
    </row>
    <row r="134" spans="1:9" hidden="1" x14ac:dyDescent="0.3">
      <c r="A134" s="298" t="s">
        <v>538</v>
      </c>
      <c r="B134" s="298" t="s">
        <v>497</v>
      </c>
      <c r="C134" s="298" t="s">
        <v>715</v>
      </c>
      <c r="D134" s="298" t="s">
        <v>716</v>
      </c>
      <c r="E134" s="298">
        <v>3795.64</v>
      </c>
      <c r="F134" s="299">
        <v>4333.3</v>
      </c>
      <c r="G134" s="299">
        <v>5200</v>
      </c>
      <c r="H134" s="299"/>
      <c r="I134" s="299"/>
    </row>
    <row r="135" spans="1:9" hidden="1" x14ac:dyDescent="0.3">
      <c r="A135" s="298" t="s">
        <v>540</v>
      </c>
      <c r="B135" s="298" t="s">
        <v>412</v>
      </c>
      <c r="C135" s="298" t="s">
        <v>715</v>
      </c>
      <c r="D135" s="298" t="s">
        <v>768</v>
      </c>
      <c r="E135" s="298">
        <v>19201.990000000002</v>
      </c>
      <c r="F135" s="299">
        <v>8750</v>
      </c>
      <c r="G135" s="299">
        <v>10500</v>
      </c>
      <c r="H135" s="299"/>
      <c r="I135" s="299"/>
    </row>
    <row r="136" spans="1:9" hidden="1" x14ac:dyDescent="0.3">
      <c r="A136" s="298" t="s">
        <v>542</v>
      </c>
      <c r="B136" s="298" t="s">
        <v>290</v>
      </c>
      <c r="C136" s="298" t="s">
        <v>715</v>
      </c>
      <c r="D136" s="298" t="s">
        <v>782</v>
      </c>
      <c r="E136" s="298">
        <v>4393.22</v>
      </c>
      <c r="F136" s="299">
        <v>4166.7</v>
      </c>
      <c r="G136" s="299">
        <v>5000</v>
      </c>
      <c r="H136" s="299"/>
      <c r="I136" s="299"/>
    </row>
    <row r="137" spans="1:9" hidden="1" x14ac:dyDescent="0.3">
      <c r="A137" s="298" t="s">
        <v>544</v>
      </c>
      <c r="B137" s="298" t="s">
        <v>422</v>
      </c>
      <c r="C137" s="298" t="s">
        <v>1034</v>
      </c>
      <c r="D137" s="298" t="s">
        <v>1035</v>
      </c>
      <c r="E137" s="298">
        <v>26876.58</v>
      </c>
      <c r="F137" s="299">
        <v>23916.7</v>
      </c>
      <c r="G137" s="299">
        <v>28700</v>
      </c>
      <c r="H137" s="299"/>
      <c r="I137" s="299"/>
    </row>
    <row r="138" spans="1:9" hidden="1" x14ac:dyDescent="0.3">
      <c r="A138" s="298" t="s">
        <v>546</v>
      </c>
      <c r="B138" s="298" t="s">
        <v>454</v>
      </c>
      <c r="C138" s="298" t="s">
        <v>1034</v>
      </c>
      <c r="D138" s="298" t="s">
        <v>1037</v>
      </c>
      <c r="E138" s="298">
        <v>14852.84</v>
      </c>
      <c r="F138" s="299">
        <v>20333.3</v>
      </c>
      <c r="G138" s="299">
        <v>24400</v>
      </c>
      <c r="H138" s="299"/>
      <c r="I138" s="299"/>
    </row>
    <row r="139" spans="1:9" hidden="1" x14ac:dyDescent="0.3">
      <c r="A139" s="298" t="s">
        <v>548</v>
      </c>
      <c r="B139" s="298" t="s">
        <v>457</v>
      </c>
      <c r="C139" s="298" t="s">
        <v>1034</v>
      </c>
      <c r="D139" s="298" t="s">
        <v>1039</v>
      </c>
      <c r="E139" s="298">
        <v>21472.880000000001</v>
      </c>
      <c r="F139" s="299">
        <v>21583.3</v>
      </c>
      <c r="G139" s="299">
        <v>25900</v>
      </c>
      <c r="H139" s="299"/>
      <c r="I139" s="299"/>
    </row>
    <row r="140" spans="1:9" hidden="1" x14ac:dyDescent="0.3">
      <c r="A140" s="298" t="s">
        <v>551</v>
      </c>
      <c r="B140" s="298" t="s">
        <v>460</v>
      </c>
      <c r="C140" s="298" t="s">
        <v>1034</v>
      </c>
      <c r="D140" s="298" t="s">
        <v>1041</v>
      </c>
      <c r="E140" s="298">
        <v>11748.96</v>
      </c>
      <c r="F140" s="299">
        <v>13916.7</v>
      </c>
      <c r="G140" s="299">
        <v>16700</v>
      </c>
      <c r="H140" s="299"/>
      <c r="I140" s="299"/>
    </row>
    <row r="141" spans="1:9" hidden="1" x14ac:dyDescent="0.3">
      <c r="A141" s="298" t="s">
        <v>553</v>
      </c>
      <c r="B141" s="298" t="s">
        <v>402</v>
      </c>
      <c r="C141" s="298" t="s">
        <v>1034</v>
      </c>
      <c r="D141" s="298" t="s">
        <v>1043</v>
      </c>
      <c r="E141" s="298">
        <v>6710.27</v>
      </c>
      <c r="F141" s="299">
        <v>5583.3</v>
      </c>
      <c r="G141" s="299">
        <v>6700</v>
      </c>
      <c r="H141" s="299"/>
      <c r="I141" s="299"/>
    </row>
    <row r="142" spans="1:9" hidden="1" x14ac:dyDescent="0.3">
      <c r="A142" s="298" t="s">
        <v>555</v>
      </c>
      <c r="B142" s="298" t="s">
        <v>465</v>
      </c>
      <c r="C142" s="298" t="s">
        <v>1034</v>
      </c>
      <c r="D142" s="298" t="s">
        <v>1045</v>
      </c>
      <c r="E142" s="298">
        <v>7464.4</v>
      </c>
      <c r="F142" s="299">
        <v>0</v>
      </c>
      <c r="G142" s="299">
        <v>0</v>
      </c>
      <c r="H142" s="299"/>
      <c r="I142" s="299"/>
    </row>
    <row r="143" spans="1:9" hidden="1" x14ac:dyDescent="0.3">
      <c r="A143" s="298" t="s">
        <v>557</v>
      </c>
      <c r="B143" s="298" t="s">
        <v>468</v>
      </c>
      <c r="C143" s="298" t="s">
        <v>1034</v>
      </c>
      <c r="D143" s="298" t="s">
        <v>1047</v>
      </c>
      <c r="E143" s="298">
        <v>10881.38</v>
      </c>
      <c r="F143" s="299">
        <v>10750</v>
      </c>
      <c r="G143" s="299">
        <v>12900</v>
      </c>
      <c r="H143" s="299"/>
      <c r="I143" s="299"/>
    </row>
    <row r="144" spans="1:9" hidden="1" x14ac:dyDescent="0.3">
      <c r="A144" s="298" t="s">
        <v>560</v>
      </c>
      <c r="B144" s="298" t="s">
        <v>422</v>
      </c>
      <c r="C144" s="298" t="s">
        <v>1034</v>
      </c>
      <c r="D144" s="298" t="s">
        <v>1058</v>
      </c>
      <c r="E144" s="298">
        <v>11099.96</v>
      </c>
      <c r="F144" s="299">
        <v>9833.2999999999993</v>
      </c>
      <c r="G144" s="299">
        <v>11800</v>
      </c>
      <c r="H144" s="299"/>
      <c r="I144" s="299"/>
    </row>
    <row r="145" spans="1:9" hidden="1" x14ac:dyDescent="0.3">
      <c r="A145" s="298" t="s">
        <v>563</v>
      </c>
      <c r="B145" s="298" t="s">
        <v>422</v>
      </c>
      <c r="C145" s="298" t="s">
        <v>1034</v>
      </c>
      <c r="D145" s="298" t="s">
        <v>1085</v>
      </c>
      <c r="E145" s="298">
        <v>5000.47</v>
      </c>
      <c r="F145" s="299">
        <v>5583.3</v>
      </c>
      <c r="G145" s="299">
        <v>6700</v>
      </c>
      <c r="H145" s="299"/>
      <c r="I145" s="299"/>
    </row>
    <row r="146" spans="1:9" hidden="1" x14ac:dyDescent="0.3">
      <c r="A146" s="298" t="s">
        <v>565</v>
      </c>
      <c r="B146" s="298" t="s">
        <v>524</v>
      </c>
      <c r="C146" s="298" t="s">
        <v>1034</v>
      </c>
      <c r="D146" s="298" t="s">
        <v>1093</v>
      </c>
      <c r="E146" s="298">
        <v>26178.61</v>
      </c>
      <c r="F146" s="299">
        <v>27166.7</v>
      </c>
      <c r="G146" s="299">
        <v>32600</v>
      </c>
      <c r="H146" s="299"/>
      <c r="I146" s="299"/>
    </row>
    <row r="147" spans="1:9" hidden="1" x14ac:dyDescent="0.3">
      <c r="A147" s="298" t="s">
        <v>567</v>
      </c>
      <c r="B147" s="298" t="s">
        <v>422</v>
      </c>
      <c r="C147" s="298" t="s">
        <v>1034</v>
      </c>
      <c r="D147" s="298" t="s">
        <v>1095</v>
      </c>
      <c r="E147" s="298">
        <v>10018.58</v>
      </c>
      <c r="F147" s="299">
        <v>10333.299999999999</v>
      </c>
      <c r="G147" s="299">
        <v>12400</v>
      </c>
      <c r="H147" s="299"/>
      <c r="I147" s="299"/>
    </row>
    <row r="148" spans="1:9" hidden="1" x14ac:dyDescent="0.3">
      <c r="A148" s="298" t="s">
        <v>569</v>
      </c>
      <c r="B148" s="298" t="s">
        <v>293</v>
      </c>
      <c r="C148" s="298" t="s">
        <v>1034</v>
      </c>
      <c r="D148" s="298" t="s">
        <v>1142</v>
      </c>
      <c r="E148" s="298">
        <v>6172.69</v>
      </c>
      <c r="F148" s="299">
        <v>7916.7</v>
      </c>
      <c r="G148" s="299">
        <v>9500</v>
      </c>
      <c r="H148" s="299"/>
      <c r="I148" s="299"/>
    </row>
    <row r="149" spans="1:9" hidden="1" x14ac:dyDescent="0.3">
      <c r="A149" s="298" t="s">
        <v>571</v>
      </c>
      <c r="B149" s="298" t="s">
        <v>497</v>
      </c>
      <c r="C149" s="298" t="s">
        <v>1070</v>
      </c>
      <c r="D149" s="298" t="s">
        <v>1071</v>
      </c>
      <c r="E149" s="298">
        <v>11143.33</v>
      </c>
      <c r="F149" s="299">
        <v>11000</v>
      </c>
      <c r="G149" s="299">
        <v>13200</v>
      </c>
      <c r="H149" s="299"/>
      <c r="I149" s="299"/>
    </row>
    <row r="150" spans="1:9" hidden="1" x14ac:dyDescent="0.3">
      <c r="A150" s="298" t="s">
        <v>573</v>
      </c>
      <c r="B150" s="298" t="s">
        <v>412</v>
      </c>
      <c r="C150" s="298" t="s">
        <v>1070</v>
      </c>
      <c r="D150" s="298" t="s">
        <v>1124</v>
      </c>
      <c r="E150" s="298">
        <v>21061.599999999999</v>
      </c>
      <c r="F150" s="299">
        <v>21916.7</v>
      </c>
      <c r="G150" s="299">
        <v>26300</v>
      </c>
      <c r="H150" s="299"/>
      <c r="I150" s="299"/>
    </row>
    <row r="151" spans="1:9" hidden="1" x14ac:dyDescent="0.3">
      <c r="A151" s="298" t="s">
        <v>575</v>
      </c>
      <c r="B151" s="298" t="s">
        <v>290</v>
      </c>
      <c r="C151" s="298" t="s">
        <v>1070</v>
      </c>
      <c r="D151" s="298" t="s">
        <v>1138</v>
      </c>
      <c r="E151" s="298">
        <v>8495.4599999999991</v>
      </c>
      <c r="F151" s="299">
        <v>8416.7000000000007</v>
      </c>
      <c r="G151" s="299">
        <v>10100</v>
      </c>
      <c r="H151" s="299"/>
      <c r="I151" s="299"/>
    </row>
    <row r="152" spans="1:9" hidden="1" x14ac:dyDescent="0.3">
      <c r="A152" s="298" t="s">
        <v>578</v>
      </c>
      <c r="B152" s="298" t="s">
        <v>422</v>
      </c>
      <c r="C152" s="298" t="s">
        <v>788</v>
      </c>
      <c r="D152" s="298" t="s">
        <v>789</v>
      </c>
      <c r="E152" s="298">
        <v>5217.12</v>
      </c>
      <c r="F152" s="299">
        <v>5333.3</v>
      </c>
      <c r="G152" s="299">
        <v>6400</v>
      </c>
      <c r="H152" s="299"/>
      <c r="I152" s="299"/>
    </row>
    <row r="153" spans="1:9" hidden="1" x14ac:dyDescent="0.3">
      <c r="A153" s="298" t="s">
        <v>580</v>
      </c>
      <c r="B153" s="298" t="s">
        <v>454</v>
      </c>
      <c r="C153" s="298" t="s">
        <v>788</v>
      </c>
      <c r="D153" s="298" t="s">
        <v>791</v>
      </c>
      <c r="E153" s="298">
        <v>3821.35</v>
      </c>
      <c r="F153" s="299">
        <v>3250</v>
      </c>
      <c r="G153" s="299">
        <v>3900</v>
      </c>
      <c r="H153" s="299"/>
      <c r="I153" s="299"/>
    </row>
    <row r="154" spans="1:9" hidden="1" x14ac:dyDescent="0.3">
      <c r="A154" s="298" t="s">
        <v>582</v>
      </c>
      <c r="B154" s="298" t="s">
        <v>457</v>
      </c>
      <c r="C154" s="298" t="s">
        <v>788</v>
      </c>
      <c r="D154" s="298" t="s">
        <v>793</v>
      </c>
      <c r="E154" s="298">
        <v>3770.95</v>
      </c>
      <c r="F154" s="299">
        <v>3916.7</v>
      </c>
      <c r="G154" s="299">
        <v>4700</v>
      </c>
      <c r="H154" s="299"/>
      <c r="I154" s="299"/>
    </row>
    <row r="155" spans="1:9" hidden="1" x14ac:dyDescent="0.3">
      <c r="A155" s="298" t="s">
        <v>584</v>
      </c>
      <c r="B155" s="298" t="s">
        <v>460</v>
      </c>
      <c r="C155" s="298" t="s">
        <v>788</v>
      </c>
      <c r="D155" s="298" t="s">
        <v>795</v>
      </c>
      <c r="E155" s="298">
        <v>2659.29</v>
      </c>
      <c r="F155" s="299">
        <v>2666.7</v>
      </c>
      <c r="G155" s="299">
        <v>3200</v>
      </c>
      <c r="H155" s="299"/>
      <c r="I155" s="299"/>
    </row>
    <row r="156" spans="1:9" hidden="1" x14ac:dyDescent="0.3">
      <c r="A156" s="298" t="s">
        <v>586</v>
      </c>
      <c r="B156" s="298" t="s">
        <v>402</v>
      </c>
      <c r="C156" s="298" t="s">
        <v>788</v>
      </c>
      <c r="D156" s="298" t="s">
        <v>797</v>
      </c>
      <c r="E156" s="298">
        <v>1253.48</v>
      </c>
      <c r="F156" s="299">
        <v>833.3</v>
      </c>
      <c r="G156" s="299">
        <v>1000</v>
      </c>
      <c r="H156" s="299"/>
      <c r="I156" s="299"/>
    </row>
    <row r="157" spans="1:9" hidden="1" x14ac:dyDescent="0.3">
      <c r="A157" s="298" t="s">
        <v>588</v>
      </c>
      <c r="B157" s="298" t="s">
        <v>468</v>
      </c>
      <c r="C157" s="298" t="s">
        <v>788</v>
      </c>
      <c r="D157" s="298" t="s">
        <v>802</v>
      </c>
      <c r="E157" s="298">
        <v>1476.21</v>
      </c>
      <c r="F157" s="299">
        <v>1583.3</v>
      </c>
      <c r="G157" s="299">
        <v>1900</v>
      </c>
      <c r="H157" s="299"/>
      <c r="I157" s="299"/>
    </row>
    <row r="158" spans="1:9" hidden="1" x14ac:dyDescent="0.3">
      <c r="A158" s="298" t="s">
        <v>590</v>
      </c>
      <c r="B158" s="298" t="s">
        <v>422</v>
      </c>
      <c r="C158" s="298" t="s">
        <v>788</v>
      </c>
      <c r="D158" s="298" t="s">
        <v>815</v>
      </c>
      <c r="E158" s="298">
        <v>2432.38</v>
      </c>
      <c r="F158" s="299">
        <v>2000</v>
      </c>
      <c r="G158" s="299">
        <v>2400</v>
      </c>
      <c r="H158" s="299"/>
      <c r="I158" s="299"/>
    </row>
    <row r="159" spans="1:9" hidden="1" x14ac:dyDescent="0.3">
      <c r="A159" s="298" t="s">
        <v>592</v>
      </c>
      <c r="B159" s="298" t="s">
        <v>425</v>
      </c>
      <c r="C159" s="298" t="s">
        <v>788</v>
      </c>
      <c r="D159" s="298" t="s">
        <v>840</v>
      </c>
      <c r="E159" s="298">
        <v>806.25</v>
      </c>
      <c r="F159" s="299">
        <v>0</v>
      </c>
      <c r="G159" s="299">
        <v>0</v>
      </c>
      <c r="H159" s="299"/>
      <c r="I159" s="299"/>
    </row>
    <row r="160" spans="1:9" hidden="1" x14ac:dyDescent="0.3">
      <c r="A160" s="298" t="s">
        <v>594</v>
      </c>
      <c r="B160" s="298" t="s">
        <v>422</v>
      </c>
      <c r="C160" s="298" t="s">
        <v>788</v>
      </c>
      <c r="D160" s="298" t="s">
        <v>842</v>
      </c>
      <c r="E160" s="298">
        <v>629.04999999999995</v>
      </c>
      <c r="F160" s="299">
        <v>833.3</v>
      </c>
      <c r="G160" s="299">
        <v>1000</v>
      </c>
      <c r="H160" s="299"/>
      <c r="I160" s="299"/>
    </row>
    <row r="161" spans="1:9" hidden="1" x14ac:dyDescent="0.3">
      <c r="A161" s="298" t="s">
        <v>596</v>
      </c>
      <c r="B161" s="298" t="s">
        <v>300</v>
      </c>
      <c r="C161" s="298" t="s">
        <v>788</v>
      </c>
      <c r="D161" s="298" t="s">
        <v>844</v>
      </c>
      <c r="E161" s="298">
        <v>414.5</v>
      </c>
      <c r="F161" s="299">
        <v>416.7</v>
      </c>
      <c r="G161" s="299">
        <v>500</v>
      </c>
      <c r="H161" s="299"/>
      <c r="I161" s="299"/>
    </row>
    <row r="162" spans="1:9" hidden="1" x14ac:dyDescent="0.3">
      <c r="A162" s="298" t="s">
        <v>598</v>
      </c>
      <c r="B162" s="298" t="s">
        <v>524</v>
      </c>
      <c r="C162" s="298" t="s">
        <v>788</v>
      </c>
      <c r="D162" s="298" t="s">
        <v>852</v>
      </c>
      <c r="E162" s="298">
        <v>3760.28</v>
      </c>
      <c r="F162" s="299">
        <v>4083.3</v>
      </c>
      <c r="G162" s="299">
        <v>4900</v>
      </c>
      <c r="H162" s="299"/>
      <c r="I162" s="299"/>
    </row>
    <row r="163" spans="1:9" hidden="1" x14ac:dyDescent="0.3">
      <c r="A163" s="298" t="s">
        <v>600</v>
      </c>
      <c r="B163" s="298" t="s">
        <v>422</v>
      </c>
      <c r="C163" s="298" t="s">
        <v>788</v>
      </c>
      <c r="D163" s="298" t="s">
        <v>854</v>
      </c>
      <c r="E163" s="298">
        <v>1863.16</v>
      </c>
      <c r="F163" s="299">
        <v>1916.7</v>
      </c>
      <c r="G163" s="299">
        <v>2300</v>
      </c>
      <c r="H163" s="299"/>
      <c r="I163" s="299"/>
    </row>
    <row r="164" spans="1:9" hidden="1" x14ac:dyDescent="0.3">
      <c r="A164" s="298" t="s">
        <v>602</v>
      </c>
      <c r="B164" s="298" t="s">
        <v>412</v>
      </c>
      <c r="C164" s="298" t="s">
        <v>788</v>
      </c>
      <c r="D164" s="298" t="s">
        <v>896</v>
      </c>
      <c r="E164" s="298">
        <v>3204.06</v>
      </c>
      <c r="F164" s="299">
        <v>0</v>
      </c>
      <c r="G164" s="299">
        <v>0</v>
      </c>
      <c r="H164" s="299"/>
      <c r="I164" s="299"/>
    </row>
    <row r="165" spans="1:9" hidden="1" x14ac:dyDescent="0.3">
      <c r="A165" s="298" t="s">
        <v>604</v>
      </c>
      <c r="B165" s="298" t="s">
        <v>293</v>
      </c>
      <c r="C165" s="298" t="s">
        <v>788</v>
      </c>
      <c r="D165" s="298" t="s">
        <v>898</v>
      </c>
      <c r="E165" s="298">
        <v>1751.91</v>
      </c>
      <c r="F165" s="299">
        <v>1750</v>
      </c>
      <c r="G165" s="299">
        <v>2100</v>
      </c>
      <c r="H165" s="299"/>
      <c r="I165" s="299"/>
    </row>
    <row r="166" spans="1:9" hidden="1" x14ac:dyDescent="0.3">
      <c r="A166" s="298" t="s">
        <v>606</v>
      </c>
      <c r="B166" s="298" t="s">
        <v>497</v>
      </c>
      <c r="C166" s="298" t="s">
        <v>827</v>
      </c>
      <c r="D166" s="298" t="s">
        <v>828</v>
      </c>
      <c r="E166" s="298">
        <v>1510.51</v>
      </c>
      <c r="F166" s="299">
        <v>1583.3</v>
      </c>
      <c r="G166" s="299">
        <v>1900</v>
      </c>
      <c r="H166" s="299"/>
      <c r="I166" s="299"/>
    </row>
    <row r="167" spans="1:9" hidden="1" x14ac:dyDescent="0.3">
      <c r="A167" s="298" t="s">
        <v>608</v>
      </c>
      <c r="B167" s="298" t="s">
        <v>412</v>
      </c>
      <c r="C167" s="298" t="s">
        <v>827</v>
      </c>
      <c r="D167" s="298" t="s">
        <v>880</v>
      </c>
      <c r="E167" s="298">
        <v>3168.19</v>
      </c>
      <c r="F167" s="299">
        <v>3250</v>
      </c>
      <c r="G167" s="299">
        <v>3900</v>
      </c>
      <c r="H167" s="299"/>
      <c r="I167" s="299"/>
    </row>
    <row r="168" spans="1:9" hidden="1" x14ac:dyDescent="0.3">
      <c r="A168" s="298" t="s">
        <v>610</v>
      </c>
      <c r="B168" s="298" t="s">
        <v>290</v>
      </c>
      <c r="C168" s="298" t="s">
        <v>827</v>
      </c>
      <c r="D168" s="298" t="s">
        <v>894</v>
      </c>
      <c r="E168" s="298">
        <v>1745.28</v>
      </c>
      <c r="F168" s="299">
        <v>1583.3</v>
      </c>
      <c r="G168" s="299">
        <v>1900</v>
      </c>
      <c r="H168" s="299"/>
      <c r="I168" s="299"/>
    </row>
    <row r="169" spans="1:9" hidden="1" x14ac:dyDescent="0.3">
      <c r="A169" s="298" t="s">
        <v>612</v>
      </c>
      <c r="B169" s="298" t="s">
        <v>457</v>
      </c>
      <c r="C169" s="298" t="s">
        <v>1173</v>
      </c>
      <c r="D169" s="298" t="s">
        <v>1174</v>
      </c>
      <c r="E169" s="298">
        <v>312044.71999999997</v>
      </c>
      <c r="F169" s="299">
        <v>293583.3</v>
      </c>
      <c r="G169" s="299">
        <v>352300</v>
      </c>
      <c r="H169" s="299"/>
      <c r="I169" s="299"/>
    </row>
    <row r="170" spans="1:9" hidden="1" x14ac:dyDescent="0.3">
      <c r="A170" s="298" t="s">
        <v>614</v>
      </c>
      <c r="B170" s="298" t="s">
        <v>402</v>
      </c>
      <c r="C170" s="298" t="s">
        <v>1173</v>
      </c>
      <c r="D170" s="298" t="s">
        <v>1176</v>
      </c>
      <c r="E170" s="298">
        <v>2232.7199999999998</v>
      </c>
      <c r="F170" s="299">
        <v>1500</v>
      </c>
      <c r="G170" s="299">
        <v>1800</v>
      </c>
      <c r="H170" s="299"/>
      <c r="I170" s="299"/>
    </row>
    <row r="171" spans="1:9" hidden="1" x14ac:dyDescent="0.3">
      <c r="A171" s="298" t="s">
        <v>616</v>
      </c>
      <c r="B171" s="298" t="s">
        <v>465</v>
      </c>
      <c r="C171" s="298" t="s">
        <v>1173</v>
      </c>
      <c r="D171" s="298" t="s">
        <v>1178</v>
      </c>
      <c r="E171" s="298">
        <v>212.9</v>
      </c>
      <c r="F171" s="299">
        <v>0</v>
      </c>
      <c r="G171" s="299">
        <v>0</v>
      </c>
      <c r="H171" s="299"/>
      <c r="I171" s="299"/>
    </row>
    <row r="172" spans="1:9" hidden="1" x14ac:dyDescent="0.3">
      <c r="A172" s="298" t="s">
        <v>618</v>
      </c>
      <c r="B172" s="298" t="s">
        <v>293</v>
      </c>
      <c r="C172" s="298" t="s">
        <v>1173</v>
      </c>
      <c r="D172" s="298" t="s">
        <v>1196</v>
      </c>
      <c r="E172" s="298">
        <v>3054.92</v>
      </c>
      <c r="F172" s="299">
        <v>3000</v>
      </c>
      <c r="G172" s="299">
        <v>3600</v>
      </c>
      <c r="H172" s="299"/>
      <c r="I172" s="299"/>
    </row>
    <row r="173" spans="1:9" hidden="1" x14ac:dyDescent="0.3">
      <c r="A173" s="298" t="s">
        <v>620</v>
      </c>
      <c r="B173" s="298" t="s">
        <v>290</v>
      </c>
      <c r="C173" s="298" t="s">
        <v>1193</v>
      </c>
      <c r="D173" s="298" t="s">
        <v>1194</v>
      </c>
      <c r="E173" s="298">
        <v>1491.97</v>
      </c>
      <c r="F173" s="299">
        <v>3000</v>
      </c>
      <c r="G173" s="299">
        <v>3600</v>
      </c>
      <c r="H173" s="299"/>
      <c r="I173" s="299"/>
    </row>
    <row r="174" spans="1:9" hidden="1" x14ac:dyDescent="0.3">
      <c r="A174" s="298" t="s">
        <v>622</v>
      </c>
      <c r="B174" s="298" t="s">
        <v>422</v>
      </c>
      <c r="C174" s="298" t="s">
        <v>900</v>
      </c>
      <c r="D174" s="298" t="s">
        <v>901</v>
      </c>
      <c r="E174" s="298">
        <v>8593.69</v>
      </c>
      <c r="F174" s="299">
        <v>7583.3</v>
      </c>
      <c r="G174" s="299">
        <v>9100</v>
      </c>
      <c r="H174" s="299"/>
      <c r="I174" s="299"/>
    </row>
    <row r="175" spans="1:9" hidden="1" x14ac:dyDescent="0.3">
      <c r="A175" s="298" t="s">
        <v>624</v>
      </c>
      <c r="B175" s="298" t="s">
        <v>454</v>
      </c>
      <c r="C175" s="298" t="s">
        <v>900</v>
      </c>
      <c r="D175" s="298" t="s">
        <v>903</v>
      </c>
      <c r="E175" s="298">
        <v>4298.43</v>
      </c>
      <c r="F175" s="299">
        <v>4250</v>
      </c>
      <c r="G175" s="299">
        <v>5100</v>
      </c>
      <c r="H175" s="299"/>
      <c r="I175" s="299"/>
    </row>
    <row r="176" spans="1:9" hidden="1" x14ac:dyDescent="0.3">
      <c r="A176" s="298" t="s">
        <v>626</v>
      </c>
      <c r="B176" s="298" t="s">
        <v>457</v>
      </c>
      <c r="C176" s="298" t="s">
        <v>900</v>
      </c>
      <c r="D176" s="298" t="s">
        <v>905</v>
      </c>
      <c r="E176" s="298">
        <v>4655.49</v>
      </c>
      <c r="F176" s="299">
        <v>4666.7</v>
      </c>
      <c r="G176" s="299">
        <v>5600</v>
      </c>
      <c r="H176" s="299"/>
      <c r="I176" s="299"/>
    </row>
    <row r="177" spans="1:9" hidden="1" x14ac:dyDescent="0.3">
      <c r="A177" s="298" t="s">
        <v>628</v>
      </c>
      <c r="B177" s="298" t="s">
        <v>460</v>
      </c>
      <c r="C177" s="298" t="s">
        <v>900</v>
      </c>
      <c r="D177" s="298" t="s">
        <v>907</v>
      </c>
      <c r="E177" s="298">
        <v>2853</v>
      </c>
      <c r="F177" s="299">
        <v>3000</v>
      </c>
      <c r="G177" s="299">
        <v>3600</v>
      </c>
      <c r="H177" s="299"/>
      <c r="I177" s="299"/>
    </row>
    <row r="178" spans="1:9" hidden="1" x14ac:dyDescent="0.3">
      <c r="A178" s="298" t="s">
        <v>630</v>
      </c>
      <c r="B178" s="298" t="s">
        <v>402</v>
      </c>
      <c r="C178" s="298" t="s">
        <v>900</v>
      </c>
      <c r="D178" s="298" t="s">
        <v>909</v>
      </c>
      <c r="E178" s="298">
        <v>1578.16</v>
      </c>
      <c r="F178" s="299">
        <v>1166.7</v>
      </c>
      <c r="G178" s="299">
        <v>1400</v>
      </c>
      <c r="H178" s="299"/>
      <c r="I178" s="299"/>
    </row>
    <row r="179" spans="1:9" hidden="1" x14ac:dyDescent="0.3">
      <c r="A179" s="298" t="s">
        <v>632</v>
      </c>
      <c r="B179" s="298" t="s">
        <v>465</v>
      </c>
      <c r="C179" s="298" t="s">
        <v>900</v>
      </c>
      <c r="D179" s="298" t="s">
        <v>911</v>
      </c>
      <c r="E179" s="298">
        <v>1490.92</v>
      </c>
      <c r="F179" s="299">
        <v>0</v>
      </c>
      <c r="G179" s="299">
        <v>0</v>
      </c>
      <c r="H179" s="299"/>
      <c r="I179" s="299"/>
    </row>
    <row r="180" spans="1:9" hidden="1" x14ac:dyDescent="0.3">
      <c r="A180" s="298" t="s">
        <v>634</v>
      </c>
      <c r="B180" s="298" t="s">
        <v>468</v>
      </c>
      <c r="C180" s="298" t="s">
        <v>900</v>
      </c>
      <c r="D180" s="298" t="s">
        <v>913</v>
      </c>
      <c r="E180" s="298">
        <v>2284.1799999999998</v>
      </c>
      <c r="F180" s="299">
        <v>2166.6999999999998</v>
      </c>
      <c r="G180" s="299">
        <v>2600</v>
      </c>
      <c r="H180" s="299"/>
      <c r="I180" s="299"/>
    </row>
    <row r="181" spans="1:9" hidden="1" x14ac:dyDescent="0.3">
      <c r="A181" s="298" t="s">
        <v>636</v>
      </c>
      <c r="B181" s="298" t="s">
        <v>422</v>
      </c>
      <c r="C181" s="298" t="s">
        <v>900</v>
      </c>
      <c r="D181" s="298" t="s">
        <v>926</v>
      </c>
      <c r="E181" s="298">
        <v>2742.32</v>
      </c>
      <c r="F181" s="299">
        <v>2333.3000000000002</v>
      </c>
      <c r="G181" s="299">
        <v>2800</v>
      </c>
      <c r="H181" s="299"/>
      <c r="I181" s="299"/>
    </row>
    <row r="182" spans="1:9" hidden="1" x14ac:dyDescent="0.3">
      <c r="A182" s="298" t="s">
        <v>638</v>
      </c>
      <c r="B182" s="298" t="s">
        <v>425</v>
      </c>
      <c r="C182" s="298" t="s">
        <v>900</v>
      </c>
      <c r="D182" s="298" t="s">
        <v>951</v>
      </c>
      <c r="E182" s="298">
        <v>831.7</v>
      </c>
      <c r="F182" s="299">
        <v>0</v>
      </c>
      <c r="G182" s="299">
        <v>0</v>
      </c>
      <c r="H182" s="299"/>
      <c r="I182" s="299"/>
    </row>
    <row r="183" spans="1:9" hidden="1" x14ac:dyDescent="0.3">
      <c r="A183" s="298" t="s">
        <v>640</v>
      </c>
      <c r="B183" s="298" t="s">
        <v>422</v>
      </c>
      <c r="C183" s="298" t="s">
        <v>900</v>
      </c>
      <c r="D183" s="298" t="s">
        <v>953</v>
      </c>
      <c r="E183" s="298">
        <v>937.79</v>
      </c>
      <c r="F183" s="299">
        <v>1166.7</v>
      </c>
      <c r="G183" s="299">
        <v>1400</v>
      </c>
      <c r="H183" s="299"/>
      <c r="I183" s="299"/>
    </row>
    <row r="184" spans="1:9" hidden="1" x14ac:dyDescent="0.3">
      <c r="A184" s="298" t="s">
        <v>642</v>
      </c>
      <c r="B184" s="298" t="s">
        <v>300</v>
      </c>
      <c r="C184" s="298" t="s">
        <v>900</v>
      </c>
      <c r="D184" s="298" t="s">
        <v>955</v>
      </c>
      <c r="E184" s="298">
        <v>338.73</v>
      </c>
      <c r="F184" s="299">
        <v>416.7</v>
      </c>
      <c r="G184" s="299">
        <v>500</v>
      </c>
      <c r="H184" s="299"/>
      <c r="I184" s="299"/>
    </row>
    <row r="185" spans="1:9" hidden="1" x14ac:dyDescent="0.3">
      <c r="A185" s="298" t="s">
        <v>644</v>
      </c>
      <c r="B185" s="298" t="s">
        <v>524</v>
      </c>
      <c r="C185" s="298" t="s">
        <v>900</v>
      </c>
      <c r="D185" s="298" t="s">
        <v>963</v>
      </c>
      <c r="E185" s="298">
        <v>5596.95</v>
      </c>
      <c r="F185" s="299">
        <v>5666.7</v>
      </c>
      <c r="G185" s="299">
        <v>6800</v>
      </c>
      <c r="H185" s="299"/>
      <c r="I185" s="299"/>
    </row>
    <row r="186" spans="1:9" hidden="1" x14ac:dyDescent="0.3">
      <c r="A186" s="298" t="s">
        <v>646</v>
      </c>
      <c r="B186" s="298" t="s">
        <v>422</v>
      </c>
      <c r="C186" s="298" t="s">
        <v>900</v>
      </c>
      <c r="D186" s="298" t="s">
        <v>965</v>
      </c>
      <c r="E186" s="298">
        <v>2205.66</v>
      </c>
      <c r="F186" s="299">
        <v>2250</v>
      </c>
      <c r="G186" s="299">
        <v>2700</v>
      </c>
      <c r="H186" s="299"/>
      <c r="I186" s="299"/>
    </row>
    <row r="187" spans="1:9" hidden="1" x14ac:dyDescent="0.3">
      <c r="A187" s="298" t="s">
        <v>648</v>
      </c>
      <c r="B187" s="298" t="s">
        <v>412</v>
      </c>
      <c r="C187" s="298" t="s">
        <v>900</v>
      </c>
      <c r="D187" s="298" t="s">
        <v>1007</v>
      </c>
      <c r="E187" s="298">
        <v>2814.08</v>
      </c>
      <c r="F187" s="299">
        <v>0</v>
      </c>
      <c r="G187" s="299">
        <v>0</v>
      </c>
      <c r="H187" s="299"/>
      <c r="I187" s="299"/>
    </row>
    <row r="188" spans="1:9" hidden="1" x14ac:dyDescent="0.3">
      <c r="A188" s="298" t="s">
        <v>650</v>
      </c>
      <c r="B188" s="298" t="s">
        <v>293</v>
      </c>
      <c r="C188" s="298" t="s">
        <v>900</v>
      </c>
      <c r="D188" s="298" t="s">
        <v>1009</v>
      </c>
      <c r="E188" s="298">
        <v>1739.63</v>
      </c>
      <c r="F188" s="299">
        <v>1750</v>
      </c>
      <c r="G188" s="299">
        <v>2100</v>
      </c>
      <c r="H188" s="299"/>
      <c r="I188" s="299"/>
    </row>
    <row r="189" spans="1:9" hidden="1" x14ac:dyDescent="0.3">
      <c r="A189" s="298" t="s">
        <v>652</v>
      </c>
      <c r="B189" s="298" t="s">
        <v>422</v>
      </c>
      <c r="C189" s="298" t="s">
        <v>900</v>
      </c>
      <c r="D189" s="298" t="s">
        <v>1013</v>
      </c>
      <c r="E189" s="298">
        <v>-796.25</v>
      </c>
      <c r="F189" s="299">
        <v>-7916.7</v>
      </c>
      <c r="G189" s="299">
        <v>-9500</v>
      </c>
      <c r="H189" s="299"/>
      <c r="I189" s="299"/>
    </row>
    <row r="190" spans="1:9" hidden="1" x14ac:dyDescent="0.3">
      <c r="A190" s="298" t="s">
        <v>654</v>
      </c>
      <c r="B190" s="298" t="s">
        <v>422</v>
      </c>
      <c r="C190" s="298" t="s">
        <v>900</v>
      </c>
      <c r="D190" s="298" t="s">
        <v>1015</v>
      </c>
      <c r="E190" s="298">
        <v>-5277.5</v>
      </c>
      <c r="F190" s="299">
        <v>-7916.7</v>
      </c>
      <c r="G190" s="299">
        <v>-9500</v>
      </c>
      <c r="H190" s="299"/>
      <c r="I190" s="299"/>
    </row>
    <row r="191" spans="1:9" hidden="1" x14ac:dyDescent="0.3">
      <c r="A191" s="298" t="s">
        <v>656</v>
      </c>
      <c r="B191" s="298" t="s">
        <v>422</v>
      </c>
      <c r="C191" s="298" t="s">
        <v>900</v>
      </c>
      <c r="D191" s="298" t="s">
        <v>1017</v>
      </c>
      <c r="E191" s="298">
        <v>-796.25</v>
      </c>
      <c r="F191" s="299">
        <v>-7916.7</v>
      </c>
      <c r="G191" s="299">
        <v>-9500</v>
      </c>
      <c r="H191" s="299"/>
      <c r="I191" s="299"/>
    </row>
    <row r="192" spans="1:9" hidden="1" x14ac:dyDescent="0.3">
      <c r="A192" s="298" t="s">
        <v>658</v>
      </c>
      <c r="B192" s="298" t="s">
        <v>422</v>
      </c>
      <c r="C192" s="298" t="s">
        <v>900</v>
      </c>
      <c r="D192" s="298" t="s">
        <v>1019</v>
      </c>
      <c r="E192" s="298">
        <v>-5202.49</v>
      </c>
      <c r="F192" s="299">
        <v>-7916.7</v>
      </c>
      <c r="G192" s="299">
        <v>-9500</v>
      </c>
      <c r="H192" s="299"/>
      <c r="I192" s="299"/>
    </row>
    <row r="193" spans="1:9" hidden="1" x14ac:dyDescent="0.3">
      <c r="A193" s="298" t="s">
        <v>660</v>
      </c>
      <c r="B193" s="298" t="s">
        <v>422</v>
      </c>
      <c r="C193" s="298" t="s">
        <v>900</v>
      </c>
      <c r="D193" s="298" t="s">
        <v>1024</v>
      </c>
      <c r="E193" s="298">
        <v>-4240.6899999999996</v>
      </c>
      <c r="F193" s="299">
        <v>-7083.3</v>
      </c>
      <c r="G193" s="299">
        <v>-8500</v>
      </c>
      <c r="H193" s="299"/>
      <c r="I193" s="299"/>
    </row>
    <row r="194" spans="1:9" hidden="1" x14ac:dyDescent="0.3">
      <c r="A194" s="298" t="s">
        <v>662</v>
      </c>
      <c r="B194" s="298" t="s">
        <v>422</v>
      </c>
      <c r="C194" s="298" t="s">
        <v>900</v>
      </c>
      <c r="D194" s="298" t="s">
        <v>1026</v>
      </c>
      <c r="E194" s="298">
        <v>-4538.6499999999996</v>
      </c>
      <c r="F194" s="299">
        <v>-5833.3</v>
      </c>
      <c r="G194" s="299">
        <v>-7000</v>
      </c>
      <c r="H194" s="299"/>
      <c r="I194" s="299"/>
    </row>
    <row r="195" spans="1:9" hidden="1" x14ac:dyDescent="0.3">
      <c r="A195" s="298" t="s">
        <v>664</v>
      </c>
      <c r="B195" s="298" t="s">
        <v>422</v>
      </c>
      <c r="C195" s="298" t="s">
        <v>900</v>
      </c>
      <c r="D195" s="298" t="s">
        <v>1028</v>
      </c>
      <c r="E195" s="298">
        <v>-5428.43</v>
      </c>
      <c r="F195" s="299">
        <v>-7083.3</v>
      </c>
      <c r="G195" s="299">
        <v>-8500</v>
      </c>
      <c r="H195" s="299"/>
      <c r="I195" s="299"/>
    </row>
    <row r="196" spans="1:9" hidden="1" x14ac:dyDescent="0.3">
      <c r="A196" s="298" t="s">
        <v>666</v>
      </c>
      <c r="B196" s="298" t="s">
        <v>422</v>
      </c>
      <c r="C196" s="298" t="s">
        <v>900</v>
      </c>
      <c r="D196" s="298" t="s">
        <v>1030</v>
      </c>
      <c r="E196" s="298">
        <v>-600.80999999999995</v>
      </c>
      <c r="F196" s="299">
        <v>-833.3</v>
      </c>
      <c r="G196" s="299">
        <v>-1000</v>
      </c>
      <c r="H196" s="299"/>
      <c r="I196" s="299"/>
    </row>
    <row r="197" spans="1:9" hidden="1" x14ac:dyDescent="0.3">
      <c r="A197" s="298" t="s">
        <v>668</v>
      </c>
      <c r="B197" s="298" t="s">
        <v>422</v>
      </c>
      <c r="C197" s="298" t="s">
        <v>900</v>
      </c>
      <c r="D197" s="298" t="s">
        <v>1032</v>
      </c>
      <c r="E197" s="298">
        <v>-195.5</v>
      </c>
      <c r="F197" s="299">
        <v>0</v>
      </c>
      <c r="G197" s="299">
        <v>0</v>
      </c>
      <c r="H197" s="299"/>
      <c r="I197" s="299"/>
    </row>
    <row r="198" spans="1:9" hidden="1" x14ac:dyDescent="0.3">
      <c r="A198" s="298" t="s">
        <v>670</v>
      </c>
      <c r="B198" s="298" t="s">
        <v>497</v>
      </c>
      <c r="C198" s="298" t="s">
        <v>938</v>
      </c>
      <c r="D198" s="298" t="s">
        <v>939</v>
      </c>
      <c r="E198" s="298">
        <v>2323.52</v>
      </c>
      <c r="F198" s="299">
        <v>2250</v>
      </c>
      <c r="G198" s="299">
        <v>2700</v>
      </c>
      <c r="H198" s="299"/>
      <c r="I198" s="299"/>
    </row>
    <row r="199" spans="1:9" hidden="1" x14ac:dyDescent="0.3">
      <c r="A199" s="298" t="s">
        <v>672</v>
      </c>
      <c r="B199" s="298" t="s">
        <v>412</v>
      </c>
      <c r="C199" s="298" t="s">
        <v>938</v>
      </c>
      <c r="D199" s="298" t="s">
        <v>991</v>
      </c>
      <c r="E199" s="298">
        <v>4510.68</v>
      </c>
      <c r="F199" s="299">
        <v>4500</v>
      </c>
      <c r="G199" s="299">
        <v>5400</v>
      </c>
      <c r="H199" s="299"/>
      <c r="I199" s="299"/>
    </row>
    <row r="200" spans="1:9" hidden="1" x14ac:dyDescent="0.3">
      <c r="A200" s="298" t="s">
        <v>674</v>
      </c>
      <c r="B200" s="298" t="s">
        <v>290</v>
      </c>
      <c r="C200" s="298" t="s">
        <v>938</v>
      </c>
      <c r="D200" s="298" t="s">
        <v>1005</v>
      </c>
      <c r="E200" s="298">
        <v>1955.39</v>
      </c>
      <c r="F200" s="299">
        <v>1833.3</v>
      </c>
      <c r="G200" s="299">
        <v>2200</v>
      </c>
      <c r="H200" s="299"/>
      <c r="I200" s="299"/>
    </row>
    <row r="201" spans="1:9" hidden="1" x14ac:dyDescent="0.3">
      <c r="A201" s="298" t="s">
        <v>676</v>
      </c>
      <c r="B201" s="298" t="s">
        <v>293</v>
      </c>
      <c r="C201" s="298" t="s">
        <v>1144</v>
      </c>
      <c r="D201" s="298" t="s">
        <v>1171</v>
      </c>
      <c r="E201" s="298">
        <v>3277.36</v>
      </c>
      <c r="F201" s="299">
        <v>5666.7</v>
      </c>
      <c r="G201" s="299">
        <v>6800</v>
      </c>
      <c r="H201" s="299"/>
      <c r="I201" s="299"/>
    </row>
    <row r="202" spans="1:9" hidden="1" x14ac:dyDescent="0.3">
      <c r="A202" s="298" t="s">
        <v>679</v>
      </c>
      <c r="B202" s="298" t="s">
        <v>290</v>
      </c>
      <c r="C202" s="298" t="s">
        <v>1168</v>
      </c>
      <c r="D202" s="298" t="s">
        <v>1169</v>
      </c>
      <c r="E202" s="298">
        <v>2433.41</v>
      </c>
      <c r="F202" s="299">
        <v>5666.7</v>
      </c>
      <c r="G202" s="299">
        <v>6800</v>
      </c>
      <c r="H202" s="299"/>
      <c r="I202" s="299"/>
    </row>
    <row r="203" spans="1:9" hidden="1" x14ac:dyDescent="0.3">
      <c r="A203" s="298" t="s">
        <v>681</v>
      </c>
      <c r="B203" s="298" t="s">
        <v>251</v>
      </c>
      <c r="C203" s="298" t="s">
        <v>415</v>
      </c>
      <c r="D203" s="298" t="s">
        <v>502</v>
      </c>
      <c r="E203" s="298">
        <v>0</v>
      </c>
      <c r="F203" s="299">
        <v>19316.7</v>
      </c>
      <c r="G203" s="299">
        <v>23180</v>
      </c>
      <c r="H203" s="299"/>
      <c r="I203" s="299"/>
    </row>
    <row r="204" spans="1:9" hidden="1" x14ac:dyDescent="0.3">
      <c r="A204" s="298" t="s">
        <v>683</v>
      </c>
      <c r="B204" s="298" t="s">
        <v>508</v>
      </c>
      <c r="C204" s="298" t="s">
        <v>415</v>
      </c>
      <c r="D204" s="298" t="s">
        <v>1260</v>
      </c>
      <c r="E204" s="298">
        <v>-941.85</v>
      </c>
      <c r="F204" s="299">
        <v>0</v>
      </c>
      <c r="G204" s="299">
        <v>0</v>
      </c>
      <c r="H204" s="299"/>
      <c r="I204" s="299"/>
    </row>
    <row r="205" spans="1:9" hidden="1" x14ac:dyDescent="0.3">
      <c r="A205" s="298" t="s">
        <v>685</v>
      </c>
      <c r="B205" s="298" t="s">
        <v>412</v>
      </c>
      <c r="C205" s="298" t="s">
        <v>415</v>
      </c>
      <c r="D205" s="298" t="s">
        <v>1269</v>
      </c>
      <c r="E205" s="298">
        <v>886.32</v>
      </c>
      <c r="F205" s="299">
        <v>0</v>
      </c>
      <c r="G205" s="299">
        <v>0</v>
      </c>
      <c r="H205" s="299"/>
      <c r="I205" s="299"/>
    </row>
    <row r="206" spans="1:9" hidden="1" x14ac:dyDescent="0.3">
      <c r="A206" s="298" t="s">
        <v>687</v>
      </c>
      <c r="B206" s="298" t="s">
        <v>293</v>
      </c>
      <c r="C206" s="298" t="s">
        <v>415</v>
      </c>
      <c r="D206" s="298" t="s">
        <v>416</v>
      </c>
      <c r="E206" s="298">
        <v>-500</v>
      </c>
      <c r="F206" s="299">
        <v>0</v>
      </c>
      <c r="G206" s="299">
        <v>0</v>
      </c>
      <c r="H206" s="299"/>
      <c r="I206" s="299"/>
    </row>
    <row r="207" spans="1:9" hidden="1" x14ac:dyDescent="0.3">
      <c r="A207" s="298" t="s">
        <v>689</v>
      </c>
      <c r="B207" s="298" t="s">
        <v>280</v>
      </c>
      <c r="C207" s="298" t="s">
        <v>415</v>
      </c>
      <c r="D207" s="298" t="s">
        <v>1262</v>
      </c>
      <c r="E207" s="298">
        <v>14215.65</v>
      </c>
      <c r="F207" s="299">
        <v>0</v>
      </c>
      <c r="G207" s="299">
        <v>0</v>
      </c>
      <c r="H207" s="299"/>
      <c r="I207" s="299"/>
    </row>
    <row r="208" spans="1:9" hidden="1" x14ac:dyDescent="0.3">
      <c r="A208" s="298" t="s">
        <v>691</v>
      </c>
      <c r="B208" s="298" t="s">
        <v>558</v>
      </c>
      <c r="C208" s="298" t="s">
        <v>415</v>
      </c>
      <c r="D208" s="298" t="s">
        <v>1271</v>
      </c>
      <c r="E208" s="298">
        <v>4257.75</v>
      </c>
      <c r="F208" s="299">
        <v>0</v>
      </c>
      <c r="G208" s="299">
        <v>0</v>
      </c>
      <c r="H208" s="299"/>
      <c r="I208" s="299"/>
    </row>
    <row r="209" spans="1:9" hidden="1" x14ac:dyDescent="0.3">
      <c r="A209" s="298" t="s">
        <v>694</v>
      </c>
      <c r="B209" s="298" t="s">
        <v>465</v>
      </c>
      <c r="C209" s="298" t="s">
        <v>415</v>
      </c>
      <c r="D209" s="298" t="s">
        <v>471</v>
      </c>
      <c r="E209" s="298">
        <v>1437353.02</v>
      </c>
      <c r="F209" s="299">
        <v>1536666.7</v>
      </c>
      <c r="G209" s="299">
        <v>1844000</v>
      </c>
      <c r="H209" s="299"/>
      <c r="I209" s="299"/>
    </row>
    <row r="210" spans="1:9" hidden="1" x14ac:dyDescent="0.3">
      <c r="A210" s="298" t="s">
        <v>696</v>
      </c>
      <c r="B210" s="298" t="s">
        <v>473</v>
      </c>
      <c r="C210" s="298" t="s">
        <v>415</v>
      </c>
      <c r="D210" s="298" t="s">
        <v>474</v>
      </c>
      <c r="E210" s="298">
        <v>330011.62</v>
      </c>
      <c r="F210" s="299">
        <v>343666.7</v>
      </c>
      <c r="G210" s="299">
        <v>412400</v>
      </c>
      <c r="H210" s="299"/>
      <c r="I210" s="299"/>
    </row>
    <row r="211" spans="1:9" hidden="1" x14ac:dyDescent="0.3">
      <c r="A211" s="298" t="s">
        <v>698</v>
      </c>
      <c r="B211" s="298" t="s">
        <v>247</v>
      </c>
      <c r="C211" s="298" t="s">
        <v>415</v>
      </c>
      <c r="D211" s="298" t="s">
        <v>476</v>
      </c>
      <c r="E211" s="298">
        <v>39372.26</v>
      </c>
      <c r="F211" s="299">
        <v>0</v>
      </c>
      <c r="G211" s="299">
        <v>0</v>
      </c>
      <c r="H211" s="299"/>
      <c r="I211" s="299"/>
    </row>
    <row r="212" spans="1:9" hidden="1" x14ac:dyDescent="0.3">
      <c r="A212" s="298" t="s">
        <v>700</v>
      </c>
      <c r="B212" s="298" t="s">
        <v>247</v>
      </c>
      <c r="C212" s="298" t="s">
        <v>415</v>
      </c>
      <c r="D212" s="298" t="s">
        <v>478</v>
      </c>
      <c r="E212" s="298">
        <v>34205.42</v>
      </c>
      <c r="F212" s="299">
        <v>66666.7</v>
      </c>
      <c r="G212" s="299">
        <v>80000</v>
      </c>
      <c r="H212" s="299"/>
      <c r="I212" s="299"/>
    </row>
    <row r="213" spans="1:9" hidden="1" x14ac:dyDescent="0.3">
      <c r="A213" s="298" t="s">
        <v>702</v>
      </c>
      <c r="B213" s="298" t="s">
        <v>480</v>
      </c>
      <c r="C213" s="298" t="s">
        <v>415</v>
      </c>
      <c r="D213" s="298" t="s">
        <v>481</v>
      </c>
      <c r="E213" s="298">
        <v>144913.79</v>
      </c>
      <c r="F213" s="299">
        <v>224000</v>
      </c>
      <c r="G213" s="299">
        <v>268800</v>
      </c>
      <c r="H213" s="299"/>
      <c r="I213" s="299"/>
    </row>
    <row r="214" spans="1:9" hidden="1" x14ac:dyDescent="0.3">
      <c r="A214" s="298" t="s">
        <v>704</v>
      </c>
      <c r="B214" s="298" t="s">
        <v>485</v>
      </c>
      <c r="C214" s="298" t="s">
        <v>415</v>
      </c>
      <c r="D214" s="298" t="s">
        <v>486</v>
      </c>
      <c r="E214" s="298">
        <v>126398.38</v>
      </c>
      <c r="F214" s="299">
        <v>119583.3</v>
      </c>
      <c r="G214" s="299">
        <v>143500</v>
      </c>
      <c r="H214" s="299"/>
      <c r="I214" s="299"/>
    </row>
    <row r="215" spans="1:9" hidden="1" x14ac:dyDescent="0.3">
      <c r="A215" s="298" t="s">
        <v>706</v>
      </c>
      <c r="B215" s="298" t="s">
        <v>465</v>
      </c>
      <c r="C215" s="298" t="s">
        <v>415</v>
      </c>
      <c r="D215" s="298" t="s">
        <v>488</v>
      </c>
      <c r="E215" s="298">
        <v>220173.87</v>
      </c>
      <c r="F215" s="299">
        <v>248000</v>
      </c>
      <c r="G215" s="299">
        <v>297600</v>
      </c>
      <c r="H215" s="299"/>
      <c r="I215" s="299"/>
    </row>
    <row r="216" spans="1:9" hidden="1" x14ac:dyDescent="0.3">
      <c r="A216" s="298" t="s">
        <v>708</v>
      </c>
      <c r="B216" s="298" t="s">
        <v>490</v>
      </c>
      <c r="C216" s="298" t="s">
        <v>415</v>
      </c>
      <c r="D216" s="298" t="s">
        <v>491</v>
      </c>
      <c r="E216" s="298">
        <v>41486.1</v>
      </c>
      <c r="F216" s="299">
        <v>41666.699999999997</v>
      </c>
      <c r="G216" s="299">
        <v>50000</v>
      </c>
      <c r="H216" s="299"/>
      <c r="I216" s="299"/>
    </row>
    <row r="217" spans="1:9" hidden="1" x14ac:dyDescent="0.3">
      <c r="A217" s="298" t="s">
        <v>710</v>
      </c>
      <c r="B217" s="298" t="s">
        <v>280</v>
      </c>
      <c r="C217" s="298" t="s">
        <v>415</v>
      </c>
      <c r="D217" s="298" t="s">
        <v>493</v>
      </c>
      <c r="E217" s="298">
        <v>41566.300000000003</v>
      </c>
      <c r="F217" s="299">
        <v>39833.300000000003</v>
      </c>
      <c r="G217" s="299">
        <v>47800</v>
      </c>
      <c r="H217" s="299"/>
      <c r="I217" s="299"/>
    </row>
    <row r="218" spans="1:9" hidden="1" x14ac:dyDescent="0.3">
      <c r="A218" s="298" t="s">
        <v>712</v>
      </c>
      <c r="B218" s="298" t="s">
        <v>412</v>
      </c>
      <c r="C218" s="298" t="s">
        <v>415</v>
      </c>
      <c r="D218" s="298" t="s">
        <v>495</v>
      </c>
      <c r="E218" s="298">
        <v>147786.57</v>
      </c>
      <c r="F218" s="299">
        <v>142166.70000000001</v>
      </c>
      <c r="G218" s="299">
        <v>170600</v>
      </c>
      <c r="H218" s="299"/>
      <c r="I218" s="299"/>
    </row>
    <row r="219" spans="1:9" hidden="1" x14ac:dyDescent="0.3">
      <c r="A219" s="298" t="s">
        <v>714</v>
      </c>
      <c r="B219" s="298" t="s">
        <v>251</v>
      </c>
      <c r="C219" s="298" t="s">
        <v>415</v>
      </c>
      <c r="D219" s="298" t="s">
        <v>500</v>
      </c>
      <c r="E219" s="298">
        <v>350241.3</v>
      </c>
      <c r="F219" s="299">
        <v>230683.3</v>
      </c>
      <c r="G219" s="299">
        <v>276820</v>
      </c>
      <c r="H219" s="299"/>
      <c r="I219" s="299"/>
    </row>
    <row r="220" spans="1:9" hidden="1" x14ac:dyDescent="0.3">
      <c r="A220" s="298" t="s">
        <v>717</v>
      </c>
      <c r="B220" s="298" t="s">
        <v>251</v>
      </c>
      <c r="C220" s="298" t="s">
        <v>415</v>
      </c>
      <c r="D220" s="298" t="s">
        <v>504</v>
      </c>
      <c r="E220" s="298">
        <v>0</v>
      </c>
      <c r="F220" s="299">
        <v>127500</v>
      </c>
      <c r="G220" s="299">
        <v>153000</v>
      </c>
      <c r="H220" s="299"/>
      <c r="I220" s="299"/>
    </row>
    <row r="221" spans="1:9" hidden="1" x14ac:dyDescent="0.3">
      <c r="A221" s="298" t="s">
        <v>719</v>
      </c>
      <c r="B221" s="298" t="s">
        <v>490</v>
      </c>
      <c r="C221" s="298" t="s">
        <v>415</v>
      </c>
      <c r="D221" s="298" t="s">
        <v>506</v>
      </c>
      <c r="E221" s="298">
        <v>345445.65</v>
      </c>
      <c r="F221" s="299">
        <v>370916.7</v>
      </c>
      <c r="G221" s="299">
        <v>445100</v>
      </c>
      <c r="H221" s="299"/>
      <c r="I221" s="299"/>
    </row>
    <row r="222" spans="1:9" hidden="1" x14ac:dyDescent="0.3">
      <c r="A222" s="298" t="s">
        <v>721</v>
      </c>
      <c r="B222" s="298" t="s">
        <v>508</v>
      </c>
      <c r="C222" s="298" t="s">
        <v>415</v>
      </c>
      <c r="D222" s="298" t="s">
        <v>509</v>
      </c>
      <c r="E222" s="298">
        <v>41486.1</v>
      </c>
      <c r="F222" s="299">
        <v>41666.699999999997</v>
      </c>
      <c r="G222" s="299">
        <v>50000</v>
      </c>
      <c r="H222" s="299"/>
      <c r="I222" s="299"/>
    </row>
    <row r="223" spans="1:9" hidden="1" x14ac:dyDescent="0.3">
      <c r="A223" s="298" t="s">
        <v>723</v>
      </c>
      <c r="B223" s="298" t="s">
        <v>511</v>
      </c>
      <c r="C223" s="298" t="s">
        <v>415</v>
      </c>
      <c r="D223" s="298" t="s">
        <v>512</v>
      </c>
      <c r="E223" s="298">
        <v>200222.12</v>
      </c>
      <c r="F223" s="299">
        <v>177916.7</v>
      </c>
      <c r="G223" s="299">
        <v>213500</v>
      </c>
      <c r="H223" s="299"/>
      <c r="I223" s="299"/>
    </row>
    <row r="224" spans="1:9" hidden="1" x14ac:dyDescent="0.3">
      <c r="A224" s="298" t="s">
        <v>725</v>
      </c>
      <c r="B224" s="298" t="s">
        <v>425</v>
      </c>
      <c r="C224" s="298" t="s">
        <v>415</v>
      </c>
      <c r="D224" s="298" t="s">
        <v>514</v>
      </c>
      <c r="E224" s="298">
        <v>43183.4</v>
      </c>
      <c r="F224" s="299">
        <v>21166.7</v>
      </c>
      <c r="G224" s="299">
        <v>25400</v>
      </c>
      <c r="H224" s="299"/>
      <c r="I224" s="299"/>
    </row>
    <row r="225" spans="1:9" hidden="1" x14ac:dyDescent="0.3">
      <c r="A225" s="298" t="s">
        <v>727</v>
      </c>
      <c r="B225" s="298" t="s">
        <v>465</v>
      </c>
      <c r="C225" s="298" t="s">
        <v>415</v>
      </c>
      <c r="D225" s="298" t="s">
        <v>518</v>
      </c>
      <c r="E225" s="298">
        <v>208366.56</v>
      </c>
      <c r="F225" s="299">
        <v>208416.7</v>
      </c>
      <c r="G225" s="299">
        <v>250100</v>
      </c>
      <c r="H225" s="299"/>
      <c r="I225" s="299"/>
    </row>
    <row r="226" spans="1:9" hidden="1" x14ac:dyDescent="0.3">
      <c r="A226" s="298" t="s">
        <v>729</v>
      </c>
      <c r="B226" s="298" t="s">
        <v>490</v>
      </c>
      <c r="C226" s="298" t="s">
        <v>415</v>
      </c>
      <c r="D226" s="298" t="s">
        <v>520</v>
      </c>
      <c r="E226" s="298">
        <v>85877.29</v>
      </c>
      <c r="F226" s="299">
        <v>41666.699999999997</v>
      </c>
      <c r="G226" s="299">
        <v>50000</v>
      </c>
      <c r="H226" s="299"/>
      <c r="I226" s="299"/>
    </row>
    <row r="227" spans="1:9" hidden="1" x14ac:dyDescent="0.3">
      <c r="A227" s="298" t="s">
        <v>731</v>
      </c>
      <c r="B227" s="298" t="s">
        <v>425</v>
      </c>
      <c r="C227" s="298" t="s">
        <v>415</v>
      </c>
      <c r="D227" s="298" t="s">
        <v>522</v>
      </c>
      <c r="E227" s="298">
        <v>0</v>
      </c>
      <c r="F227" s="299">
        <v>41666.699999999997</v>
      </c>
      <c r="G227" s="299">
        <v>50000</v>
      </c>
      <c r="H227" s="299"/>
      <c r="I227" s="299"/>
    </row>
    <row r="228" spans="1:9" hidden="1" x14ac:dyDescent="0.3">
      <c r="A228" s="298" t="s">
        <v>733</v>
      </c>
      <c r="B228" s="298" t="s">
        <v>280</v>
      </c>
      <c r="C228" s="298" t="s">
        <v>415</v>
      </c>
      <c r="D228" s="298" t="s">
        <v>529</v>
      </c>
      <c r="E228" s="298">
        <v>272666.09999999998</v>
      </c>
      <c r="F228" s="299">
        <v>316083.3</v>
      </c>
      <c r="G228" s="299">
        <v>379300</v>
      </c>
      <c r="H228" s="299"/>
      <c r="I228" s="299"/>
    </row>
    <row r="229" spans="1:9" hidden="1" x14ac:dyDescent="0.3">
      <c r="A229" s="298" t="s">
        <v>735</v>
      </c>
      <c r="B229" s="298" t="s">
        <v>280</v>
      </c>
      <c r="C229" s="298" t="s">
        <v>415</v>
      </c>
      <c r="D229" s="298" t="s">
        <v>531</v>
      </c>
      <c r="E229" s="298">
        <v>164187.32999999999</v>
      </c>
      <c r="F229" s="299">
        <v>207916.7</v>
      </c>
      <c r="G229" s="299">
        <v>249500</v>
      </c>
      <c r="H229" s="299"/>
      <c r="I229" s="299"/>
    </row>
    <row r="230" spans="1:9" hidden="1" x14ac:dyDescent="0.3">
      <c r="A230" s="298" t="s">
        <v>737</v>
      </c>
      <c r="B230" s="298" t="s">
        <v>280</v>
      </c>
      <c r="C230" s="298" t="s">
        <v>415</v>
      </c>
      <c r="D230" s="298" t="s">
        <v>533</v>
      </c>
      <c r="E230" s="298">
        <v>43409.7</v>
      </c>
      <c r="F230" s="299">
        <v>41666.699999999997</v>
      </c>
      <c r="G230" s="299">
        <v>50000</v>
      </c>
      <c r="H230" s="299"/>
      <c r="I230" s="299"/>
    </row>
    <row r="231" spans="1:9" hidden="1" x14ac:dyDescent="0.3">
      <c r="A231" s="298" t="s">
        <v>739</v>
      </c>
      <c r="B231" s="298" t="s">
        <v>280</v>
      </c>
      <c r="C231" s="298" t="s">
        <v>415</v>
      </c>
      <c r="D231" s="298" t="s">
        <v>535</v>
      </c>
      <c r="E231" s="298">
        <v>105964.21</v>
      </c>
      <c r="F231" s="299">
        <v>110750</v>
      </c>
      <c r="G231" s="299">
        <v>132900</v>
      </c>
      <c r="H231" s="299"/>
      <c r="I231" s="299"/>
    </row>
    <row r="232" spans="1:9" hidden="1" x14ac:dyDescent="0.3">
      <c r="A232" s="298" t="s">
        <v>741</v>
      </c>
      <c r="B232" s="298" t="s">
        <v>280</v>
      </c>
      <c r="C232" s="298" t="s">
        <v>415</v>
      </c>
      <c r="D232" s="298" t="s">
        <v>537</v>
      </c>
      <c r="E232" s="298">
        <v>445564.11</v>
      </c>
      <c r="F232" s="299">
        <v>445083.3</v>
      </c>
      <c r="G232" s="299">
        <v>534100</v>
      </c>
      <c r="H232" s="299"/>
      <c r="I232" s="299"/>
    </row>
    <row r="233" spans="1:9" hidden="1" x14ac:dyDescent="0.3">
      <c r="A233" s="298" t="s">
        <v>743</v>
      </c>
      <c r="B233" s="298" t="s">
        <v>280</v>
      </c>
      <c r="C233" s="298" t="s">
        <v>415</v>
      </c>
      <c r="D233" s="298" t="s">
        <v>539</v>
      </c>
      <c r="E233" s="298">
        <v>487074.28</v>
      </c>
      <c r="F233" s="299">
        <v>477333.3</v>
      </c>
      <c r="G233" s="299">
        <v>572800</v>
      </c>
      <c r="H233" s="299"/>
      <c r="I233" s="299"/>
    </row>
    <row r="234" spans="1:9" hidden="1" x14ac:dyDescent="0.3">
      <c r="A234" s="298" t="s">
        <v>745</v>
      </c>
      <c r="B234" s="298" t="s">
        <v>280</v>
      </c>
      <c r="C234" s="298" t="s">
        <v>415</v>
      </c>
      <c r="D234" s="298" t="s">
        <v>541</v>
      </c>
      <c r="E234" s="298">
        <v>391825.84</v>
      </c>
      <c r="F234" s="299">
        <v>468916.7</v>
      </c>
      <c r="G234" s="299">
        <v>562700</v>
      </c>
      <c r="H234" s="299"/>
      <c r="I234" s="299"/>
    </row>
    <row r="235" spans="1:9" hidden="1" x14ac:dyDescent="0.3">
      <c r="A235" s="298" t="s">
        <v>747</v>
      </c>
      <c r="B235" s="298" t="s">
        <v>280</v>
      </c>
      <c r="C235" s="298" t="s">
        <v>415</v>
      </c>
      <c r="D235" s="298" t="s">
        <v>543</v>
      </c>
      <c r="E235" s="298">
        <v>85290.26</v>
      </c>
      <c r="F235" s="299">
        <v>98916.7</v>
      </c>
      <c r="G235" s="299">
        <v>118700</v>
      </c>
      <c r="H235" s="299"/>
      <c r="I235" s="299"/>
    </row>
    <row r="236" spans="1:9" hidden="1" x14ac:dyDescent="0.3">
      <c r="A236" s="298" t="s">
        <v>749</v>
      </c>
      <c r="B236" s="298" t="s">
        <v>283</v>
      </c>
      <c r="C236" s="298" t="s">
        <v>415</v>
      </c>
      <c r="D236" s="298" t="s">
        <v>545</v>
      </c>
      <c r="E236" s="298">
        <v>349904.38</v>
      </c>
      <c r="F236" s="299">
        <v>380083.3</v>
      </c>
      <c r="G236" s="299">
        <v>456100</v>
      </c>
      <c r="H236" s="299"/>
      <c r="I236" s="299"/>
    </row>
    <row r="237" spans="1:9" x14ac:dyDescent="0.3">
      <c r="A237" s="298" t="s">
        <v>751</v>
      </c>
      <c r="B237" s="298" t="s">
        <v>287</v>
      </c>
      <c r="C237" s="298" t="s">
        <v>415</v>
      </c>
      <c r="D237" s="298" t="s">
        <v>547</v>
      </c>
      <c r="E237" s="298">
        <v>358181.78</v>
      </c>
      <c r="F237" s="299">
        <v>353916.7</v>
      </c>
      <c r="G237" s="299">
        <v>424700</v>
      </c>
      <c r="H237" s="299">
        <v>-905477</v>
      </c>
      <c r="I237" s="299">
        <f>+H22+H23+H24+H25+H26+H27+H28+H29+H30</f>
        <v>2595521.9999999995</v>
      </c>
    </row>
    <row r="238" spans="1:9" hidden="1" x14ac:dyDescent="0.3">
      <c r="A238" s="298" t="s">
        <v>753</v>
      </c>
      <c r="B238" s="298" t="s">
        <v>412</v>
      </c>
      <c r="C238" s="298" t="s">
        <v>415</v>
      </c>
      <c r="D238" s="298" t="s">
        <v>552</v>
      </c>
      <c r="E238" s="298">
        <v>305740.01</v>
      </c>
      <c r="F238" s="299">
        <v>376166.7</v>
      </c>
      <c r="G238" s="299">
        <v>451400</v>
      </c>
      <c r="H238" s="299"/>
      <c r="I238" s="299"/>
    </row>
    <row r="239" spans="1:9" hidden="1" x14ac:dyDescent="0.3">
      <c r="A239" s="298" t="s">
        <v>755</v>
      </c>
      <c r="B239" s="298" t="s">
        <v>412</v>
      </c>
      <c r="C239" s="298" t="s">
        <v>415</v>
      </c>
      <c r="D239" s="298" t="s">
        <v>554</v>
      </c>
      <c r="E239" s="298">
        <v>128698.07</v>
      </c>
      <c r="F239" s="299">
        <v>179666.7</v>
      </c>
      <c r="G239" s="299">
        <v>215600</v>
      </c>
      <c r="H239" s="299"/>
      <c r="I239" s="299"/>
    </row>
    <row r="240" spans="1:9" hidden="1" x14ac:dyDescent="0.3">
      <c r="A240" s="298" t="s">
        <v>757</v>
      </c>
      <c r="B240" s="298" t="s">
        <v>412</v>
      </c>
      <c r="C240" s="298" t="s">
        <v>415</v>
      </c>
      <c r="D240" s="298" t="s">
        <v>556</v>
      </c>
      <c r="E240" s="298">
        <v>444015.11</v>
      </c>
      <c r="F240" s="299">
        <v>541916.69999999995</v>
      </c>
      <c r="G240" s="299">
        <v>650300</v>
      </c>
      <c r="H240" s="299"/>
      <c r="I240" s="299"/>
    </row>
    <row r="241" spans="1:9" hidden="1" x14ac:dyDescent="0.3">
      <c r="A241" s="298" t="s">
        <v>759</v>
      </c>
      <c r="B241" s="298" t="s">
        <v>558</v>
      </c>
      <c r="C241" s="298" t="s">
        <v>415</v>
      </c>
      <c r="D241" s="298" t="s">
        <v>559</v>
      </c>
      <c r="E241" s="298">
        <v>305603.40000000002</v>
      </c>
      <c r="F241" s="299">
        <v>359833.3</v>
      </c>
      <c r="G241" s="299">
        <v>431800</v>
      </c>
      <c r="H241" s="299"/>
      <c r="I241" s="299"/>
    </row>
    <row r="242" spans="1:9" hidden="1" x14ac:dyDescent="0.3">
      <c r="A242" s="298" t="s">
        <v>761</v>
      </c>
      <c r="B242" s="298" t="s">
        <v>561</v>
      </c>
      <c r="C242" s="298" t="s">
        <v>415</v>
      </c>
      <c r="D242" s="298" t="s">
        <v>562</v>
      </c>
      <c r="E242" s="298">
        <v>114769.04</v>
      </c>
      <c r="F242" s="299">
        <v>114833.3</v>
      </c>
      <c r="G242" s="299">
        <v>137800</v>
      </c>
      <c r="H242" s="299"/>
      <c r="I242" s="299"/>
    </row>
    <row r="243" spans="1:9" hidden="1" x14ac:dyDescent="0.3">
      <c r="A243" s="298" t="s">
        <v>763</v>
      </c>
      <c r="B243" s="298" t="s">
        <v>412</v>
      </c>
      <c r="C243" s="298" t="s">
        <v>415</v>
      </c>
      <c r="D243" s="298" t="s">
        <v>566</v>
      </c>
      <c r="E243" s="298">
        <v>105876.22</v>
      </c>
      <c r="F243" s="299">
        <v>0</v>
      </c>
      <c r="G243" s="299">
        <v>0</v>
      </c>
      <c r="H243" s="299"/>
      <c r="I243" s="299"/>
    </row>
    <row r="244" spans="1:9" hidden="1" x14ac:dyDescent="0.3">
      <c r="A244" s="298" t="s">
        <v>765</v>
      </c>
      <c r="B244" s="298" t="s">
        <v>480</v>
      </c>
      <c r="C244" s="298" t="s">
        <v>415</v>
      </c>
      <c r="D244" s="298" t="s">
        <v>579</v>
      </c>
      <c r="E244" s="298">
        <v>73856.58</v>
      </c>
      <c r="F244" s="299">
        <v>0</v>
      </c>
      <c r="G244" s="299">
        <v>0</v>
      </c>
      <c r="H244" s="299"/>
      <c r="I244" s="299"/>
    </row>
    <row r="245" spans="1:9" hidden="1" x14ac:dyDescent="0.3">
      <c r="A245" s="298" t="s">
        <v>767</v>
      </c>
      <c r="B245" s="298" t="s">
        <v>465</v>
      </c>
      <c r="C245" s="298" t="s">
        <v>415</v>
      </c>
      <c r="D245" s="298" t="s">
        <v>581</v>
      </c>
      <c r="E245" s="298">
        <v>4071.95</v>
      </c>
      <c r="F245" s="299">
        <v>0</v>
      </c>
      <c r="G245" s="299">
        <v>0</v>
      </c>
      <c r="H245" s="299"/>
      <c r="I245" s="299"/>
    </row>
    <row r="246" spans="1:9" hidden="1" x14ac:dyDescent="0.3">
      <c r="A246" s="298" t="s">
        <v>769</v>
      </c>
      <c r="B246" s="298" t="s">
        <v>251</v>
      </c>
      <c r="C246" s="298" t="s">
        <v>415</v>
      </c>
      <c r="D246" s="298" t="s">
        <v>583</v>
      </c>
      <c r="E246" s="298">
        <v>21587.64</v>
      </c>
      <c r="F246" s="299">
        <v>31833.3</v>
      </c>
      <c r="G246" s="299">
        <v>38200</v>
      </c>
      <c r="H246" s="299"/>
      <c r="I246" s="299"/>
    </row>
    <row r="247" spans="1:9" hidden="1" x14ac:dyDescent="0.3">
      <c r="A247" s="298" t="s">
        <v>771</v>
      </c>
      <c r="B247" s="298" t="s">
        <v>490</v>
      </c>
      <c r="C247" s="298" t="s">
        <v>415</v>
      </c>
      <c r="D247" s="298" t="s">
        <v>585</v>
      </c>
      <c r="E247" s="298">
        <v>13911.02</v>
      </c>
      <c r="F247" s="299">
        <v>0</v>
      </c>
      <c r="G247" s="299">
        <v>0</v>
      </c>
      <c r="H247" s="299"/>
      <c r="I247" s="299"/>
    </row>
    <row r="248" spans="1:9" hidden="1" x14ac:dyDescent="0.3">
      <c r="A248" s="298" t="s">
        <v>773</v>
      </c>
      <c r="B248" s="298" t="s">
        <v>300</v>
      </c>
      <c r="C248" s="298" t="s">
        <v>415</v>
      </c>
      <c r="D248" s="298" t="s">
        <v>587</v>
      </c>
      <c r="E248" s="298">
        <v>18360.8</v>
      </c>
      <c r="F248" s="299">
        <v>21500</v>
      </c>
      <c r="G248" s="299">
        <v>25800</v>
      </c>
      <c r="H248" s="299"/>
      <c r="I248" s="299"/>
    </row>
    <row r="249" spans="1:9" hidden="1" x14ac:dyDescent="0.3">
      <c r="A249" s="298" t="s">
        <v>775</v>
      </c>
      <c r="B249" s="298" t="s">
        <v>303</v>
      </c>
      <c r="C249" s="298" t="s">
        <v>415</v>
      </c>
      <c r="D249" s="298" t="s">
        <v>593</v>
      </c>
      <c r="E249" s="298">
        <v>42571.17</v>
      </c>
      <c r="F249" s="299">
        <v>41083.300000000003</v>
      </c>
      <c r="G249" s="299">
        <v>49300</v>
      </c>
      <c r="H249" s="299"/>
      <c r="I249" s="299"/>
    </row>
    <row r="250" spans="1:9" hidden="1" x14ac:dyDescent="0.3">
      <c r="A250" s="298" t="s">
        <v>777</v>
      </c>
      <c r="B250" s="298" t="s">
        <v>280</v>
      </c>
      <c r="C250" s="298" t="s">
        <v>415</v>
      </c>
      <c r="D250" s="298" t="s">
        <v>595</v>
      </c>
      <c r="E250" s="298">
        <v>48017.7</v>
      </c>
      <c r="F250" s="299">
        <v>0</v>
      </c>
      <c r="G250" s="299">
        <v>0</v>
      </c>
      <c r="H250" s="299"/>
      <c r="I250" s="299"/>
    </row>
    <row r="251" spans="1:9" hidden="1" x14ac:dyDescent="0.3">
      <c r="A251" s="298" t="s">
        <v>779</v>
      </c>
      <c r="B251" s="298" t="s">
        <v>524</v>
      </c>
      <c r="C251" s="298" t="s">
        <v>415</v>
      </c>
      <c r="D251" s="298" t="s">
        <v>597</v>
      </c>
      <c r="E251" s="298">
        <v>438.9</v>
      </c>
      <c r="F251" s="299">
        <v>0</v>
      </c>
      <c r="G251" s="299">
        <v>0</v>
      </c>
      <c r="H251" s="299"/>
      <c r="I251" s="299"/>
    </row>
    <row r="252" spans="1:9" hidden="1" x14ac:dyDescent="0.3">
      <c r="A252" s="298" t="s">
        <v>781</v>
      </c>
      <c r="B252" s="298" t="s">
        <v>280</v>
      </c>
      <c r="C252" s="298" t="s">
        <v>415</v>
      </c>
      <c r="D252" s="298" t="s">
        <v>599</v>
      </c>
      <c r="E252" s="298">
        <v>21423.33</v>
      </c>
      <c r="F252" s="299">
        <v>0</v>
      </c>
      <c r="G252" s="299">
        <v>0</v>
      </c>
      <c r="H252" s="299"/>
      <c r="I252" s="299"/>
    </row>
    <row r="253" spans="1:9" hidden="1" x14ac:dyDescent="0.3">
      <c r="A253" s="298" t="s">
        <v>783</v>
      </c>
      <c r="B253" s="298" t="s">
        <v>280</v>
      </c>
      <c r="C253" s="298" t="s">
        <v>415</v>
      </c>
      <c r="D253" s="298" t="s">
        <v>601</v>
      </c>
      <c r="E253" s="298">
        <v>2838.47</v>
      </c>
      <c r="F253" s="299">
        <v>0</v>
      </c>
      <c r="G253" s="299">
        <v>0</v>
      </c>
      <c r="H253" s="299"/>
      <c r="I253" s="299"/>
    </row>
    <row r="254" spans="1:9" hidden="1" x14ac:dyDescent="0.3">
      <c r="A254" s="298" t="s">
        <v>785</v>
      </c>
      <c r="B254" s="298" t="s">
        <v>280</v>
      </c>
      <c r="C254" s="298" t="s">
        <v>415</v>
      </c>
      <c r="D254" s="298" t="s">
        <v>603</v>
      </c>
      <c r="E254" s="298">
        <v>55738.84</v>
      </c>
      <c r="F254" s="299">
        <v>0</v>
      </c>
      <c r="G254" s="299">
        <v>0</v>
      </c>
      <c r="H254" s="299"/>
      <c r="I254" s="299"/>
    </row>
    <row r="255" spans="1:9" hidden="1" x14ac:dyDescent="0.3">
      <c r="A255" s="298" t="s">
        <v>787</v>
      </c>
      <c r="B255" s="298" t="s">
        <v>283</v>
      </c>
      <c r="C255" s="298" t="s">
        <v>415</v>
      </c>
      <c r="D255" s="298" t="s">
        <v>605</v>
      </c>
      <c r="E255" s="298">
        <v>6330.62</v>
      </c>
      <c r="F255" s="299">
        <v>0</v>
      </c>
      <c r="G255" s="299">
        <v>0</v>
      </c>
      <c r="H255" s="299"/>
      <c r="I255" s="299"/>
    </row>
    <row r="256" spans="1:9" x14ac:dyDescent="0.3">
      <c r="A256" s="298" t="s">
        <v>790</v>
      </c>
      <c r="B256" s="298" t="s">
        <v>287</v>
      </c>
      <c r="C256" s="298" t="s">
        <v>415</v>
      </c>
      <c r="D256" s="298" t="s">
        <v>607</v>
      </c>
      <c r="E256" s="298">
        <v>9301.5400000000009</v>
      </c>
      <c r="F256" s="299">
        <v>0</v>
      </c>
      <c r="G256" s="299">
        <v>0</v>
      </c>
      <c r="H256" s="299"/>
      <c r="I256" s="299"/>
    </row>
    <row r="257" spans="1:9" hidden="1" x14ac:dyDescent="0.3">
      <c r="A257" s="298" t="s">
        <v>792</v>
      </c>
      <c r="B257" s="298" t="s">
        <v>412</v>
      </c>
      <c r="C257" s="298" t="s">
        <v>415</v>
      </c>
      <c r="D257" s="298" t="s">
        <v>609</v>
      </c>
      <c r="E257" s="298">
        <v>41438.19</v>
      </c>
      <c r="F257" s="299">
        <v>0</v>
      </c>
      <c r="G257" s="299">
        <v>0</v>
      </c>
      <c r="H257" s="299"/>
      <c r="I257" s="299"/>
    </row>
    <row r="258" spans="1:9" hidden="1" x14ac:dyDescent="0.3">
      <c r="A258" s="298" t="s">
        <v>794</v>
      </c>
      <c r="B258" s="298" t="s">
        <v>412</v>
      </c>
      <c r="C258" s="298" t="s">
        <v>415</v>
      </c>
      <c r="D258" s="298" t="s">
        <v>611</v>
      </c>
      <c r="E258" s="298">
        <v>27674.68</v>
      </c>
      <c r="F258" s="299">
        <v>0</v>
      </c>
      <c r="G258" s="299">
        <v>0</v>
      </c>
      <c r="H258" s="299"/>
      <c r="I258" s="299"/>
    </row>
    <row r="259" spans="1:9" hidden="1" x14ac:dyDescent="0.3">
      <c r="A259" s="298" t="s">
        <v>796</v>
      </c>
      <c r="B259" s="298" t="s">
        <v>412</v>
      </c>
      <c r="C259" s="298" t="s">
        <v>415</v>
      </c>
      <c r="D259" s="298" t="s">
        <v>613</v>
      </c>
      <c r="E259" s="298">
        <v>11815.29</v>
      </c>
      <c r="F259" s="299">
        <v>0</v>
      </c>
      <c r="G259" s="299">
        <v>0</v>
      </c>
      <c r="H259" s="299"/>
      <c r="I259" s="299"/>
    </row>
    <row r="260" spans="1:9" hidden="1" x14ac:dyDescent="0.3">
      <c r="A260" s="298" t="s">
        <v>798</v>
      </c>
      <c r="B260" s="298" t="s">
        <v>558</v>
      </c>
      <c r="C260" s="298" t="s">
        <v>415</v>
      </c>
      <c r="D260" s="298" t="s">
        <v>615</v>
      </c>
      <c r="E260" s="298">
        <v>28648.79</v>
      </c>
      <c r="F260" s="299">
        <v>0</v>
      </c>
      <c r="G260" s="299">
        <v>0</v>
      </c>
      <c r="H260" s="299"/>
      <c r="I260" s="299"/>
    </row>
    <row r="261" spans="1:9" hidden="1" x14ac:dyDescent="0.3">
      <c r="A261" s="298" t="s">
        <v>801</v>
      </c>
      <c r="B261" s="298" t="s">
        <v>412</v>
      </c>
      <c r="C261" s="298" t="s">
        <v>415</v>
      </c>
      <c r="D261" s="298" t="s">
        <v>617</v>
      </c>
      <c r="E261" s="298">
        <v>6932.98</v>
      </c>
      <c r="F261" s="299">
        <v>0</v>
      </c>
      <c r="G261" s="299">
        <v>0</v>
      </c>
      <c r="H261" s="299"/>
      <c r="I261" s="299"/>
    </row>
    <row r="262" spans="1:9" hidden="1" x14ac:dyDescent="0.3">
      <c r="A262" s="298" t="s">
        <v>803</v>
      </c>
      <c r="B262" s="298" t="s">
        <v>473</v>
      </c>
      <c r="C262" s="298" t="s">
        <v>415</v>
      </c>
      <c r="D262" s="298" t="s">
        <v>621</v>
      </c>
      <c r="E262" s="298">
        <v>8791.7999999999993</v>
      </c>
      <c r="F262" s="299">
        <v>0</v>
      </c>
      <c r="G262" s="299">
        <v>0</v>
      </c>
      <c r="H262" s="299"/>
      <c r="I262" s="299"/>
    </row>
    <row r="263" spans="1:9" hidden="1" x14ac:dyDescent="0.3">
      <c r="A263" s="298" t="s">
        <v>808</v>
      </c>
      <c r="B263" s="298" t="s">
        <v>473</v>
      </c>
      <c r="C263" s="298" t="s">
        <v>415</v>
      </c>
      <c r="D263" s="298" t="s">
        <v>623</v>
      </c>
      <c r="E263" s="298">
        <v>14432.11</v>
      </c>
      <c r="F263" s="299">
        <v>12500</v>
      </c>
      <c r="G263" s="299">
        <v>0</v>
      </c>
      <c r="H263" s="299"/>
      <c r="I263" s="299"/>
    </row>
    <row r="264" spans="1:9" hidden="1" x14ac:dyDescent="0.3">
      <c r="A264" s="298" t="s">
        <v>810</v>
      </c>
      <c r="B264" s="298" t="s">
        <v>480</v>
      </c>
      <c r="C264" s="298" t="s">
        <v>415</v>
      </c>
      <c r="D264" s="298" t="s">
        <v>627</v>
      </c>
      <c r="E264" s="298">
        <v>15608.56</v>
      </c>
      <c r="F264" s="299">
        <v>12500</v>
      </c>
      <c r="G264" s="299">
        <v>7500</v>
      </c>
      <c r="H264" s="299"/>
      <c r="I264" s="299"/>
    </row>
    <row r="265" spans="1:9" hidden="1" x14ac:dyDescent="0.3">
      <c r="A265" s="298" t="s">
        <v>812</v>
      </c>
      <c r="B265" s="298" t="s">
        <v>490</v>
      </c>
      <c r="C265" s="298" t="s">
        <v>415</v>
      </c>
      <c r="D265" s="298" t="s">
        <v>631</v>
      </c>
      <c r="E265" s="298">
        <v>31733.3</v>
      </c>
      <c r="F265" s="299">
        <v>12500</v>
      </c>
      <c r="G265" s="299">
        <v>30000</v>
      </c>
      <c r="H265" s="299"/>
      <c r="I265" s="299"/>
    </row>
    <row r="266" spans="1:9" hidden="1" x14ac:dyDescent="0.3">
      <c r="A266" s="298" t="s">
        <v>814</v>
      </c>
      <c r="B266" s="298" t="s">
        <v>251</v>
      </c>
      <c r="C266" s="298" t="s">
        <v>415</v>
      </c>
      <c r="D266" s="298" t="s">
        <v>633</v>
      </c>
      <c r="E266" s="298">
        <v>161912.38</v>
      </c>
      <c r="F266" s="299">
        <v>120000</v>
      </c>
      <c r="G266" s="299">
        <v>15000</v>
      </c>
      <c r="H266" s="299"/>
      <c r="I266" s="299"/>
    </row>
    <row r="267" spans="1:9" hidden="1" x14ac:dyDescent="0.3">
      <c r="A267" s="298" t="s">
        <v>816</v>
      </c>
      <c r="B267" s="298" t="s">
        <v>257</v>
      </c>
      <c r="C267" s="298" t="s">
        <v>415</v>
      </c>
      <c r="D267" s="298" t="s">
        <v>635</v>
      </c>
      <c r="E267" s="298">
        <v>141955.99</v>
      </c>
      <c r="F267" s="299">
        <v>137500</v>
      </c>
      <c r="G267" s="299">
        <v>144000</v>
      </c>
      <c r="H267" s="299"/>
      <c r="I267" s="299"/>
    </row>
    <row r="268" spans="1:9" hidden="1" x14ac:dyDescent="0.3">
      <c r="A268" s="298" t="s">
        <v>818</v>
      </c>
      <c r="B268" s="298" t="s">
        <v>490</v>
      </c>
      <c r="C268" s="298" t="s">
        <v>415</v>
      </c>
      <c r="D268" s="298" t="s">
        <v>637</v>
      </c>
      <c r="E268" s="298">
        <v>2286.6799999999998</v>
      </c>
      <c r="F268" s="299">
        <v>4166.7</v>
      </c>
      <c r="G268" s="299">
        <v>165000</v>
      </c>
      <c r="H268" s="299"/>
      <c r="I268" s="299"/>
    </row>
    <row r="269" spans="1:9" hidden="1" x14ac:dyDescent="0.3">
      <c r="A269" s="298" t="s">
        <v>820</v>
      </c>
      <c r="B269" s="298" t="s">
        <v>490</v>
      </c>
      <c r="C269" s="298" t="s">
        <v>415</v>
      </c>
      <c r="D269" s="298" t="s">
        <v>639</v>
      </c>
      <c r="E269" s="298">
        <v>32835.300000000003</v>
      </c>
      <c r="F269" s="299">
        <v>41666.699999999997</v>
      </c>
      <c r="G269" s="299">
        <v>5000</v>
      </c>
      <c r="H269" s="299"/>
      <c r="I269" s="299"/>
    </row>
    <row r="270" spans="1:9" hidden="1" x14ac:dyDescent="0.3">
      <c r="A270" s="298" t="s">
        <v>822</v>
      </c>
      <c r="B270" s="298" t="s">
        <v>280</v>
      </c>
      <c r="C270" s="298" t="s">
        <v>415</v>
      </c>
      <c r="D270" s="298" t="s">
        <v>641</v>
      </c>
      <c r="E270" s="298">
        <v>68563.14</v>
      </c>
      <c r="F270" s="299">
        <v>32166.7</v>
      </c>
      <c r="G270" s="299">
        <v>50000</v>
      </c>
      <c r="H270" s="299"/>
      <c r="I270" s="299"/>
    </row>
    <row r="271" spans="1:9" hidden="1" x14ac:dyDescent="0.3">
      <c r="A271" s="298" t="s">
        <v>824</v>
      </c>
      <c r="B271" s="298" t="s">
        <v>280</v>
      </c>
      <c r="C271" s="298" t="s">
        <v>415</v>
      </c>
      <c r="D271" s="298" t="s">
        <v>643</v>
      </c>
      <c r="E271" s="298">
        <v>1973.66</v>
      </c>
      <c r="F271" s="299">
        <v>16083.3</v>
      </c>
      <c r="G271" s="299">
        <v>38600</v>
      </c>
      <c r="H271" s="299"/>
      <c r="I271" s="299"/>
    </row>
    <row r="272" spans="1:9" hidden="1" x14ac:dyDescent="0.3">
      <c r="A272" s="298" t="s">
        <v>826</v>
      </c>
      <c r="B272" s="298" t="s">
        <v>280</v>
      </c>
      <c r="C272" s="298" t="s">
        <v>415</v>
      </c>
      <c r="D272" s="298" t="s">
        <v>645</v>
      </c>
      <c r="E272" s="298">
        <v>139340.14000000001</v>
      </c>
      <c r="F272" s="299">
        <v>117083.3</v>
      </c>
      <c r="G272" s="299">
        <v>19300</v>
      </c>
      <c r="H272" s="299"/>
      <c r="I272" s="299"/>
    </row>
    <row r="273" spans="1:9" hidden="1" x14ac:dyDescent="0.3">
      <c r="A273" s="298" t="s">
        <v>829</v>
      </c>
      <c r="B273" s="298" t="s">
        <v>280</v>
      </c>
      <c r="C273" s="298" t="s">
        <v>415</v>
      </c>
      <c r="D273" s="298" t="s">
        <v>647</v>
      </c>
      <c r="E273" s="298">
        <v>117764.86</v>
      </c>
      <c r="F273" s="299">
        <v>61333.3</v>
      </c>
      <c r="G273" s="299">
        <v>140500</v>
      </c>
      <c r="H273" s="299"/>
      <c r="I273" s="299"/>
    </row>
    <row r="274" spans="1:9" hidden="1" x14ac:dyDescent="0.3">
      <c r="A274" s="298" t="s">
        <v>831</v>
      </c>
      <c r="B274" s="298" t="s">
        <v>280</v>
      </c>
      <c r="C274" s="298" t="s">
        <v>415</v>
      </c>
      <c r="D274" s="298" t="s">
        <v>649</v>
      </c>
      <c r="E274" s="298">
        <v>0</v>
      </c>
      <c r="F274" s="299">
        <v>13000</v>
      </c>
      <c r="G274" s="299">
        <v>73600</v>
      </c>
      <c r="H274" s="299"/>
      <c r="I274" s="299"/>
    </row>
    <row r="275" spans="1:9" hidden="1" x14ac:dyDescent="0.3">
      <c r="A275" s="298" t="s">
        <v>833</v>
      </c>
      <c r="B275" s="298" t="s">
        <v>283</v>
      </c>
      <c r="C275" s="298" t="s">
        <v>415</v>
      </c>
      <c r="D275" s="298" t="s">
        <v>651</v>
      </c>
      <c r="E275" s="298">
        <v>73495.72</v>
      </c>
      <c r="F275" s="299">
        <v>51000</v>
      </c>
      <c r="G275" s="299">
        <v>61200</v>
      </c>
      <c r="H275" s="299"/>
      <c r="I275" s="299"/>
    </row>
    <row r="276" spans="1:9" hidden="1" x14ac:dyDescent="0.3">
      <c r="A276" s="298" t="s">
        <v>835</v>
      </c>
      <c r="B276" s="298" t="s">
        <v>306</v>
      </c>
      <c r="C276" s="298" t="s">
        <v>415</v>
      </c>
      <c r="D276" s="298" t="s">
        <v>655</v>
      </c>
      <c r="E276" s="298">
        <v>3235.37</v>
      </c>
      <c r="F276" s="299">
        <v>0</v>
      </c>
      <c r="G276" s="299">
        <v>0</v>
      </c>
      <c r="H276" s="299"/>
      <c r="I276" s="299"/>
    </row>
    <row r="277" spans="1:9" hidden="1" x14ac:dyDescent="0.3">
      <c r="A277" s="298" t="s">
        <v>837</v>
      </c>
      <c r="B277" s="298" t="s">
        <v>412</v>
      </c>
      <c r="C277" s="298" t="s">
        <v>415</v>
      </c>
      <c r="D277" s="298" t="s">
        <v>657</v>
      </c>
      <c r="E277" s="298">
        <v>137796.74</v>
      </c>
      <c r="F277" s="299">
        <v>50333.3</v>
      </c>
      <c r="G277" s="299">
        <v>60400</v>
      </c>
      <c r="H277" s="299"/>
      <c r="I277" s="299"/>
    </row>
    <row r="278" spans="1:9" hidden="1" x14ac:dyDescent="0.3">
      <c r="A278" s="298" t="s">
        <v>839</v>
      </c>
      <c r="B278" s="298" t="s">
        <v>412</v>
      </c>
      <c r="C278" s="298" t="s">
        <v>415</v>
      </c>
      <c r="D278" s="298" t="s">
        <v>659</v>
      </c>
      <c r="E278" s="298">
        <v>57955.47</v>
      </c>
      <c r="F278" s="299">
        <v>25166.7</v>
      </c>
      <c r="G278" s="299">
        <v>30200</v>
      </c>
      <c r="H278" s="299"/>
      <c r="I278" s="299"/>
    </row>
    <row r="279" spans="1:9" hidden="1" x14ac:dyDescent="0.3">
      <c r="A279" s="298" t="s">
        <v>841</v>
      </c>
      <c r="B279" s="298" t="s">
        <v>412</v>
      </c>
      <c r="C279" s="298" t="s">
        <v>415</v>
      </c>
      <c r="D279" s="298" t="s">
        <v>661</v>
      </c>
      <c r="E279" s="298">
        <v>231677.22</v>
      </c>
      <c r="F279" s="299">
        <v>123750</v>
      </c>
      <c r="G279" s="299">
        <v>148500</v>
      </c>
      <c r="H279" s="299"/>
      <c r="I279" s="299"/>
    </row>
    <row r="280" spans="1:9" hidden="1" x14ac:dyDescent="0.3">
      <c r="A280" s="298" t="s">
        <v>843</v>
      </c>
      <c r="B280" s="298" t="s">
        <v>306</v>
      </c>
      <c r="C280" s="298" t="s">
        <v>415</v>
      </c>
      <c r="D280" s="298" t="s">
        <v>663</v>
      </c>
      <c r="E280" s="298">
        <v>18557.849999999999</v>
      </c>
      <c r="F280" s="299">
        <v>0</v>
      </c>
      <c r="G280" s="299">
        <v>0</v>
      </c>
      <c r="H280" s="299"/>
      <c r="I280" s="299"/>
    </row>
    <row r="281" spans="1:9" hidden="1" x14ac:dyDescent="0.3">
      <c r="A281" s="298" t="s">
        <v>845</v>
      </c>
      <c r="B281" s="298" t="s">
        <v>558</v>
      </c>
      <c r="C281" s="298" t="s">
        <v>415</v>
      </c>
      <c r="D281" s="298" t="s">
        <v>665</v>
      </c>
      <c r="E281" s="298">
        <v>109967.55</v>
      </c>
      <c r="F281" s="299">
        <v>50333.3</v>
      </c>
      <c r="G281" s="299">
        <v>60400</v>
      </c>
      <c r="H281" s="299"/>
      <c r="I281" s="299"/>
    </row>
    <row r="282" spans="1:9" hidden="1" x14ac:dyDescent="0.3">
      <c r="A282" s="298" t="s">
        <v>847</v>
      </c>
      <c r="B282" s="298" t="s">
        <v>290</v>
      </c>
      <c r="C282" s="298" t="s">
        <v>415</v>
      </c>
      <c r="D282" s="298" t="s">
        <v>667</v>
      </c>
      <c r="E282" s="298">
        <v>4426.47</v>
      </c>
      <c r="F282" s="299">
        <v>0</v>
      </c>
      <c r="G282" s="299">
        <v>0</v>
      </c>
      <c r="H282" s="299"/>
      <c r="I282" s="299"/>
    </row>
    <row r="283" spans="1:9" hidden="1" x14ac:dyDescent="0.3">
      <c r="A283" s="298" t="s">
        <v>849</v>
      </c>
      <c r="B283" s="298" t="s">
        <v>412</v>
      </c>
      <c r="C283" s="298" t="s">
        <v>415</v>
      </c>
      <c r="D283" s="298" t="s">
        <v>669</v>
      </c>
      <c r="E283" s="298">
        <v>34238.35</v>
      </c>
      <c r="F283" s="299">
        <v>0</v>
      </c>
      <c r="G283" s="299">
        <v>0</v>
      </c>
      <c r="H283" s="299"/>
      <c r="I283" s="299"/>
    </row>
    <row r="284" spans="1:9" hidden="1" x14ac:dyDescent="0.3">
      <c r="A284" s="298" t="s">
        <v>851</v>
      </c>
      <c r="B284" s="298" t="s">
        <v>412</v>
      </c>
      <c r="C284" s="298" t="s">
        <v>415</v>
      </c>
      <c r="D284" s="298" t="s">
        <v>675</v>
      </c>
      <c r="E284" s="298">
        <v>70822.48</v>
      </c>
      <c r="F284" s="299">
        <v>66666.7</v>
      </c>
      <c r="G284" s="299">
        <v>80000</v>
      </c>
      <c r="H284" s="299"/>
      <c r="I284" s="299"/>
    </row>
    <row r="285" spans="1:9" hidden="1" x14ac:dyDescent="0.3">
      <c r="A285" s="298" t="s">
        <v>853</v>
      </c>
      <c r="B285" s="298" t="s">
        <v>465</v>
      </c>
      <c r="C285" s="298" t="s">
        <v>415</v>
      </c>
      <c r="D285" s="298" t="s">
        <v>1256</v>
      </c>
      <c r="E285" s="298">
        <v>9885.51</v>
      </c>
      <c r="F285" s="299">
        <v>0</v>
      </c>
      <c r="G285" s="299">
        <v>0</v>
      </c>
      <c r="H285" s="299"/>
      <c r="I285" s="299"/>
    </row>
    <row r="286" spans="1:9" hidden="1" x14ac:dyDescent="0.3">
      <c r="A286" s="298" t="s">
        <v>855</v>
      </c>
      <c r="B286" s="298" t="s">
        <v>465</v>
      </c>
      <c r="C286" s="298" t="s">
        <v>415</v>
      </c>
      <c r="D286" s="298" t="s">
        <v>1258</v>
      </c>
      <c r="E286" s="298">
        <v>19716.98</v>
      </c>
      <c r="F286" s="299">
        <v>0</v>
      </c>
      <c r="G286" s="299">
        <v>0</v>
      </c>
      <c r="H286" s="299"/>
      <c r="I286" s="299"/>
    </row>
    <row r="287" spans="1:9" hidden="1" x14ac:dyDescent="0.3">
      <c r="A287" s="298" t="s">
        <v>857</v>
      </c>
      <c r="B287" s="298" t="s">
        <v>283</v>
      </c>
      <c r="C287" s="298" t="s">
        <v>415</v>
      </c>
      <c r="D287" s="298" t="s">
        <v>1264</v>
      </c>
      <c r="E287" s="298">
        <v>4773.78</v>
      </c>
      <c r="F287" s="299">
        <v>0</v>
      </c>
      <c r="G287" s="299">
        <v>0</v>
      </c>
      <c r="H287" s="299"/>
      <c r="I287" s="299"/>
    </row>
    <row r="288" spans="1:9" x14ac:dyDescent="0.3">
      <c r="A288" s="298" t="s">
        <v>859</v>
      </c>
      <c r="B288" s="298" t="s">
        <v>1266</v>
      </c>
      <c r="C288" s="298" t="s">
        <v>415</v>
      </c>
      <c r="D288" s="298" t="s">
        <v>1267</v>
      </c>
      <c r="E288" s="298">
        <v>4445.67</v>
      </c>
      <c r="F288" s="299">
        <v>0</v>
      </c>
      <c r="G288" s="299">
        <v>0</v>
      </c>
      <c r="H288" s="310">
        <f>SUM(H22:H30)</f>
        <v>2595521.9999999995</v>
      </c>
      <c r="I288" s="299"/>
    </row>
    <row r="289" spans="1:9" hidden="1" x14ac:dyDescent="0.3">
      <c r="A289" s="298" t="s">
        <v>861</v>
      </c>
      <c r="B289" s="298" t="s">
        <v>465</v>
      </c>
      <c r="C289" s="298" t="s">
        <v>576</v>
      </c>
      <c r="D289" s="298" t="s">
        <v>577</v>
      </c>
      <c r="E289" s="298">
        <v>83913.46</v>
      </c>
      <c r="F289" s="299">
        <v>0</v>
      </c>
      <c r="G289" s="299">
        <v>0</v>
      </c>
      <c r="H289" s="299"/>
      <c r="I289" s="299"/>
    </row>
    <row r="290" spans="1:9" hidden="1" x14ac:dyDescent="0.3">
      <c r="A290" s="298" t="s">
        <v>863</v>
      </c>
      <c r="B290" s="298" t="s">
        <v>280</v>
      </c>
      <c r="C290" s="298" t="s">
        <v>576</v>
      </c>
      <c r="D290" s="298" t="s">
        <v>591</v>
      </c>
      <c r="E290" s="298">
        <v>1090.5</v>
      </c>
      <c r="F290" s="299">
        <v>0</v>
      </c>
      <c r="G290" s="299">
        <v>0</v>
      </c>
      <c r="H290" s="299"/>
      <c r="I290" s="299"/>
    </row>
    <row r="291" spans="1:9" hidden="1" x14ac:dyDescent="0.3">
      <c r="A291" s="298" t="s">
        <v>865</v>
      </c>
      <c r="B291" s="298" t="s">
        <v>247</v>
      </c>
      <c r="C291" s="298" t="s">
        <v>576</v>
      </c>
      <c r="D291" s="298" t="s">
        <v>625</v>
      </c>
      <c r="E291" s="298">
        <v>0</v>
      </c>
      <c r="F291" s="299">
        <v>6250</v>
      </c>
      <c r="G291" s="299">
        <v>15000</v>
      </c>
      <c r="H291" s="299"/>
      <c r="I291" s="299"/>
    </row>
    <row r="292" spans="1:9" x14ac:dyDescent="0.3">
      <c r="A292" s="298" t="s">
        <v>867</v>
      </c>
      <c r="B292" s="298" t="s">
        <v>287</v>
      </c>
      <c r="C292" s="298" t="s">
        <v>576</v>
      </c>
      <c r="D292" s="298" t="s">
        <v>653</v>
      </c>
      <c r="E292" s="298">
        <v>72662.740000000005</v>
      </c>
      <c r="F292" s="299">
        <v>12500</v>
      </c>
      <c r="G292" s="299">
        <v>15000</v>
      </c>
      <c r="H292" s="299"/>
      <c r="I292" s="299"/>
    </row>
    <row r="293" spans="1:9" hidden="1" x14ac:dyDescent="0.3">
      <c r="A293" s="298" t="s">
        <v>869</v>
      </c>
      <c r="B293" s="298" t="s">
        <v>422</v>
      </c>
      <c r="C293" s="298" t="s">
        <v>1253</v>
      </c>
      <c r="D293" s="298" t="s">
        <v>1254</v>
      </c>
      <c r="E293" s="298">
        <v>-65969.42</v>
      </c>
      <c r="F293" s="299">
        <v>0</v>
      </c>
      <c r="G293" s="299">
        <v>0</v>
      </c>
      <c r="H293" s="299"/>
      <c r="I293" s="299"/>
    </row>
    <row r="294" spans="1:9" hidden="1" x14ac:dyDescent="0.3">
      <c r="A294" s="298" t="s">
        <v>871</v>
      </c>
      <c r="B294" s="298" t="s">
        <v>412</v>
      </c>
      <c r="C294" s="298" t="s">
        <v>409</v>
      </c>
      <c r="D294" s="298" t="s">
        <v>413</v>
      </c>
      <c r="E294" s="298">
        <v>-12766.72</v>
      </c>
      <c r="F294" s="299">
        <v>0</v>
      </c>
      <c r="G294" s="299">
        <v>0</v>
      </c>
      <c r="H294" s="299">
        <v>-13000</v>
      </c>
      <c r="I294" s="299"/>
    </row>
    <row r="295" spans="1:9" hidden="1" x14ac:dyDescent="0.3">
      <c r="A295" s="298" t="s">
        <v>873</v>
      </c>
      <c r="B295" s="298" t="s">
        <v>1198</v>
      </c>
      <c r="C295" s="298" t="s">
        <v>1199</v>
      </c>
      <c r="D295" s="298" t="s">
        <v>1200</v>
      </c>
      <c r="E295" s="298">
        <v>0</v>
      </c>
      <c r="F295" s="299">
        <v>25416.7</v>
      </c>
      <c r="G295" s="299">
        <v>30500</v>
      </c>
      <c r="H295" s="299"/>
      <c r="I295" s="299"/>
    </row>
    <row r="296" spans="1:9" hidden="1" x14ac:dyDescent="0.3">
      <c r="A296" s="298" t="s">
        <v>875</v>
      </c>
      <c r="B296" s="298" t="s">
        <v>465</v>
      </c>
      <c r="C296" s="298" t="s">
        <v>692</v>
      </c>
      <c r="D296" s="298" t="s">
        <v>693</v>
      </c>
      <c r="E296" s="298">
        <v>68412.33</v>
      </c>
      <c r="F296" s="299">
        <v>77666.7</v>
      </c>
      <c r="G296" s="299">
        <v>93200</v>
      </c>
      <c r="H296" s="299"/>
      <c r="I296" s="299"/>
    </row>
    <row r="297" spans="1:9" hidden="1" x14ac:dyDescent="0.3">
      <c r="A297" s="298" t="s">
        <v>877</v>
      </c>
      <c r="B297" s="298" t="s">
        <v>473</v>
      </c>
      <c r="C297" s="298" t="s">
        <v>692</v>
      </c>
      <c r="D297" s="298" t="s">
        <v>695</v>
      </c>
      <c r="E297" s="298">
        <v>367.83</v>
      </c>
      <c r="F297" s="299">
        <v>0</v>
      </c>
      <c r="G297" s="299">
        <v>0</v>
      </c>
      <c r="H297" s="299"/>
      <c r="I297" s="299"/>
    </row>
    <row r="298" spans="1:9" hidden="1" x14ac:dyDescent="0.3">
      <c r="A298" s="298" t="s">
        <v>879</v>
      </c>
      <c r="B298" s="298" t="s">
        <v>473</v>
      </c>
      <c r="C298" s="298" t="s">
        <v>692</v>
      </c>
      <c r="D298" s="298" t="s">
        <v>697</v>
      </c>
      <c r="E298" s="298">
        <v>14846.63</v>
      </c>
      <c r="F298" s="299">
        <v>16083.3</v>
      </c>
      <c r="G298" s="299">
        <v>19300</v>
      </c>
      <c r="H298" s="299"/>
      <c r="I298" s="299"/>
    </row>
    <row r="299" spans="1:9" hidden="1" x14ac:dyDescent="0.3">
      <c r="A299" s="298" t="s">
        <v>881</v>
      </c>
      <c r="B299" s="298" t="s">
        <v>247</v>
      </c>
      <c r="C299" s="298" t="s">
        <v>692</v>
      </c>
      <c r="D299" s="298" t="s">
        <v>699</v>
      </c>
      <c r="E299" s="298">
        <v>3446.39</v>
      </c>
      <c r="F299" s="299">
        <v>3750</v>
      </c>
      <c r="G299" s="299">
        <v>4500</v>
      </c>
      <c r="H299" s="299"/>
      <c r="I299" s="299"/>
    </row>
    <row r="300" spans="1:9" hidden="1" x14ac:dyDescent="0.3">
      <c r="A300" s="298" t="s">
        <v>883</v>
      </c>
      <c r="B300" s="298" t="s">
        <v>480</v>
      </c>
      <c r="C300" s="298" t="s">
        <v>692</v>
      </c>
      <c r="D300" s="298" t="s">
        <v>701</v>
      </c>
      <c r="E300" s="298">
        <v>10483.86</v>
      </c>
      <c r="F300" s="299">
        <v>12083.3</v>
      </c>
      <c r="G300" s="299">
        <v>14500</v>
      </c>
      <c r="H300" s="299"/>
      <c r="I300" s="299"/>
    </row>
    <row r="301" spans="1:9" hidden="1" x14ac:dyDescent="0.3">
      <c r="A301" s="298" t="s">
        <v>885</v>
      </c>
      <c r="B301" s="298" t="s">
        <v>485</v>
      </c>
      <c r="C301" s="298" t="s">
        <v>692</v>
      </c>
      <c r="D301" s="298" t="s">
        <v>705</v>
      </c>
      <c r="E301" s="298">
        <v>5268.49</v>
      </c>
      <c r="F301" s="299">
        <v>5250</v>
      </c>
      <c r="G301" s="299">
        <v>6300</v>
      </c>
      <c r="H301" s="299"/>
      <c r="I301" s="299"/>
    </row>
    <row r="302" spans="1:9" hidden="1" x14ac:dyDescent="0.3">
      <c r="A302" s="298" t="s">
        <v>887</v>
      </c>
      <c r="B302" s="298" t="s">
        <v>465</v>
      </c>
      <c r="C302" s="298" t="s">
        <v>692</v>
      </c>
      <c r="D302" s="298" t="s">
        <v>707</v>
      </c>
      <c r="E302" s="298">
        <v>10848.54</v>
      </c>
      <c r="F302" s="299">
        <v>12666.7</v>
      </c>
      <c r="G302" s="299">
        <v>15200</v>
      </c>
      <c r="H302" s="299"/>
      <c r="I302" s="299"/>
    </row>
    <row r="303" spans="1:9" hidden="1" x14ac:dyDescent="0.3">
      <c r="A303" s="298" t="s">
        <v>889</v>
      </c>
      <c r="B303" s="298" t="s">
        <v>490</v>
      </c>
      <c r="C303" s="298" t="s">
        <v>692</v>
      </c>
      <c r="D303" s="298" t="s">
        <v>709</v>
      </c>
      <c r="E303" s="298">
        <v>5092.3100000000004</v>
      </c>
      <c r="F303" s="299">
        <v>2750</v>
      </c>
      <c r="G303" s="299">
        <v>3300</v>
      </c>
      <c r="H303" s="299"/>
      <c r="I303" s="299"/>
    </row>
    <row r="304" spans="1:9" hidden="1" x14ac:dyDescent="0.3">
      <c r="A304" s="298" t="s">
        <v>891</v>
      </c>
      <c r="B304" s="298" t="s">
        <v>280</v>
      </c>
      <c r="C304" s="298" t="s">
        <v>692</v>
      </c>
      <c r="D304" s="298" t="s">
        <v>711</v>
      </c>
      <c r="E304" s="298">
        <v>1950.94</v>
      </c>
      <c r="F304" s="299">
        <v>2000</v>
      </c>
      <c r="G304" s="299">
        <v>2400</v>
      </c>
      <c r="H304" s="299"/>
      <c r="I304" s="299"/>
    </row>
    <row r="305" spans="1:9" hidden="1" x14ac:dyDescent="0.3">
      <c r="A305" s="298" t="s">
        <v>893</v>
      </c>
      <c r="B305" s="298" t="s">
        <v>412</v>
      </c>
      <c r="C305" s="298" t="s">
        <v>692</v>
      </c>
      <c r="D305" s="298" t="s">
        <v>713</v>
      </c>
      <c r="E305" s="298">
        <v>9445.2999999999993</v>
      </c>
      <c r="F305" s="299">
        <v>10250</v>
      </c>
      <c r="G305" s="299">
        <v>12300</v>
      </c>
      <c r="H305" s="299"/>
      <c r="I305" s="299"/>
    </row>
    <row r="306" spans="1:9" hidden="1" x14ac:dyDescent="0.3">
      <c r="A306" s="298" t="s">
        <v>895</v>
      </c>
      <c r="B306" s="298" t="s">
        <v>251</v>
      </c>
      <c r="C306" s="298" t="s">
        <v>692</v>
      </c>
      <c r="D306" s="298" t="s">
        <v>718</v>
      </c>
      <c r="E306" s="298">
        <v>24170.1</v>
      </c>
      <c r="F306" s="299">
        <v>26250</v>
      </c>
      <c r="G306" s="299">
        <v>31500</v>
      </c>
      <c r="H306" s="299"/>
      <c r="I306" s="299"/>
    </row>
    <row r="307" spans="1:9" hidden="1" x14ac:dyDescent="0.3">
      <c r="A307" s="298" t="s">
        <v>897</v>
      </c>
      <c r="B307" s="298" t="s">
        <v>257</v>
      </c>
      <c r="C307" s="298" t="s">
        <v>692</v>
      </c>
      <c r="D307" s="298" t="s">
        <v>720</v>
      </c>
      <c r="E307" s="298">
        <v>6164.41</v>
      </c>
      <c r="F307" s="299">
        <v>0</v>
      </c>
      <c r="G307" s="299">
        <v>0</v>
      </c>
      <c r="H307" s="299"/>
      <c r="I307" s="299"/>
    </row>
    <row r="308" spans="1:9" hidden="1" x14ac:dyDescent="0.3">
      <c r="A308" s="298" t="s">
        <v>899</v>
      </c>
      <c r="B308" s="298" t="s">
        <v>490</v>
      </c>
      <c r="C308" s="298" t="s">
        <v>692</v>
      </c>
      <c r="D308" s="298" t="s">
        <v>722</v>
      </c>
      <c r="E308" s="298">
        <v>16191.2</v>
      </c>
      <c r="F308" s="299">
        <v>18416.7</v>
      </c>
      <c r="G308" s="299">
        <v>22100</v>
      </c>
      <c r="H308" s="299"/>
      <c r="I308" s="299"/>
    </row>
    <row r="309" spans="1:9" hidden="1" x14ac:dyDescent="0.3">
      <c r="A309" s="298" t="s">
        <v>902</v>
      </c>
      <c r="B309" s="298" t="s">
        <v>508</v>
      </c>
      <c r="C309" s="298" t="s">
        <v>692</v>
      </c>
      <c r="D309" s="298" t="s">
        <v>724</v>
      </c>
      <c r="E309" s="298">
        <v>1987.57</v>
      </c>
      <c r="F309" s="299">
        <v>2166.6999999999998</v>
      </c>
      <c r="G309" s="299">
        <v>2600</v>
      </c>
      <c r="H309" s="299"/>
      <c r="I309" s="299"/>
    </row>
    <row r="310" spans="1:9" hidden="1" x14ac:dyDescent="0.3">
      <c r="A310" s="298" t="s">
        <v>904</v>
      </c>
      <c r="B310" s="298" t="s">
        <v>511</v>
      </c>
      <c r="C310" s="298" t="s">
        <v>692</v>
      </c>
      <c r="D310" s="298" t="s">
        <v>726</v>
      </c>
      <c r="E310" s="298">
        <v>9061.15</v>
      </c>
      <c r="F310" s="299">
        <v>8666.7000000000007</v>
      </c>
      <c r="G310" s="299">
        <v>10400</v>
      </c>
      <c r="H310" s="299"/>
      <c r="I310" s="299"/>
    </row>
    <row r="311" spans="1:9" hidden="1" x14ac:dyDescent="0.3">
      <c r="A311" s="298" t="s">
        <v>906</v>
      </c>
      <c r="B311" s="298" t="s">
        <v>300</v>
      </c>
      <c r="C311" s="298" t="s">
        <v>692</v>
      </c>
      <c r="D311" s="298" t="s">
        <v>732</v>
      </c>
      <c r="E311" s="298">
        <v>814.83</v>
      </c>
      <c r="F311" s="299">
        <v>1083.3</v>
      </c>
      <c r="G311" s="299">
        <v>1300</v>
      </c>
      <c r="H311" s="299"/>
      <c r="I311" s="299"/>
    </row>
    <row r="312" spans="1:9" hidden="1" x14ac:dyDescent="0.3">
      <c r="A312" s="298" t="s">
        <v>908</v>
      </c>
      <c r="B312" s="298" t="s">
        <v>465</v>
      </c>
      <c r="C312" s="298" t="s">
        <v>692</v>
      </c>
      <c r="D312" s="298" t="s">
        <v>734</v>
      </c>
      <c r="E312" s="298">
        <v>9723.56</v>
      </c>
      <c r="F312" s="299">
        <v>10666.7</v>
      </c>
      <c r="G312" s="299">
        <v>12800</v>
      </c>
      <c r="H312" s="299"/>
      <c r="I312" s="299"/>
    </row>
    <row r="313" spans="1:9" hidden="1" x14ac:dyDescent="0.3">
      <c r="A313" s="298" t="s">
        <v>910</v>
      </c>
      <c r="B313" s="298" t="s">
        <v>490</v>
      </c>
      <c r="C313" s="298" t="s">
        <v>692</v>
      </c>
      <c r="D313" s="298" t="s">
        <v>736</v>
      </c>
      <c r="E313" s="298">
        <v>5275.94</v>
      </c>
      <c r="F313" s="299">
        <v>4250</v>
      </c>
      <c r="G313" s="299">
        <v>5100</v>
      </c>
      <c r="H313" s="299"/>
      <c r="I313" s="299"/>
    </row>
    <row r="314" spans="1:9" hidden="1" x14ac:dyDescent="0.3">
      <c r="A314" s="298" t="s">
        <v>912</v>
      </c>
      <c r="B314" s="298" t="s">
        <v>425</v>
      </c>
      <c r="C314" s="298" t="s">
        <v>692</v>
      </c>
      <c r="D314" s="298" t="s">
        <v>738</v>
      </c>
      <c r="E314" s="298">
        <v>0</v>
      </c>
      <c r="F314" s="299">
        <v>2166.6999999999998</v>
      </c>
      <c r="G314" s="299">
        <v>2600</v>
      </c>
      <c r="H314" s="299"/>
      <c r="I314" s="299"/>
    </row>
    <row r="315" spans="1:9" hidden="1" x14ac:dyDescent="0.3">
      <c r="A315" s="298" t="s">
        <v>914</v>
      </c>
      <c r="B315" s="298" t="s">
        <v>280</v>
      </c>
      <c r="C315" s="298" t="s">
        <v>692</v>
      </c>
      <c r="D315" s="298" t="s">
        <v>744</v>
      </c>
      <c r="E315" s="298">
        <v>12092.66</v>
      </c>
      <c r="F315" s="299">
        <v>16083.3</v>
      </c>
      <c r="G315" s="299">
        <v>19300</v>
      </c>
      <c r="H315" s="299"/>
      <c r="I315" s="299"/>
    </row>
    <row r="316" spans="1:9" hidden="1" x14ac:dyDescent="0.3">
      <c r="A316" s="298" t="s">
        <v>917</v>
      </c>
      <c r="B316" s="298" t="s">
        <v>303</v>
      </c>
      <c r="C316" s="298" t="s">
        <v>692</v>
      </c>
      <c r="D316" s="298" t="s">
        <v>746</v>
      </c>
      <c r="E316" s="298">
        <v>2027.57</v>
      </c>
      <c r="F316" s="299">
        <v>2083.3000000000002</v>
      </c>
      <c r="G316" s="299">
        <v>2500</v>
      </c>
      <c r="H316" s="299"/>
      <c r="I316" s="299"/>
    </row>
    <row r="317" spans="1:9" hidden="1" x14ac:dyDescent="0.3">
      <c r="A317" s="298" t="s">
        <v>919</v>
      </c>
      <c r="B317" s="298" t="s">
        <v>280</v>
      </c>
      <c r="C317" s="298" t="s">
        <v>692</v>
      </c>
      <c r="D317" s="298" t="s">
        <v>748</v>
      </c>
      <c r="E317" s="298">
        <v>12611.16</v>
      </c>
      <c r="F317" s="299">
        <v>12250</v>
      </c>
      <c r="G317" s="299">
        <v>14700</v>
      </c>
      <c r="H317" s="299"/>
      <c r="I317" s="299"/>
    </row>
    <row r="318" spans="1:9" hidden="1" x14ac:dyDescent="0.3">
      <c r="A318" s="298" t="s">
        <v>921</v>
      </c>
      <c r="B318" s="298" t="s">
        <v>280</v>
      </c>
      <c r="C318" s="298" t="s">
        <v>692</v>
      </c>
      <c r="D318" s="298" t="s">
        <v>750</v>
      </c>
      <c r="E318" s="298">
        <v>2049.39</v>
      </c>
      <c r="F318" s="299">
        <v>2166.6999999999998</v>
      </c>
      <c r="G318" s="299">
        <v>2600</v>
      </c>
      <c r="H318" s="299"/>
      <c r="I318" s="299"/>
    </row>
    <row r="319" spans="1:9" hidden="1" x14ac:dyDescent="0.3">
      <c r="A319" s="298" t="s">
        <v>923</v>
      </c>
      <c r="B319" s="298" t="s">
        <v>280</v>
      </c>
      <c r="C319" s="298" t="s">
        <v>692</v>
      </c>
      <c r="D319" s="298" t="s">
        <v>752</v>
      </c>
      <c r="E319" s="298">
        <v>5946.48</v>
      </c>
      <c r="F319" s="299">
        <v>6500</v>
      </c>
      <c r="G319" s="299">
        <v>7800</v>
      </c>
      <c r="H319" s="299"/>
      <c r="I319" s="299"/>
    </row>
    <row r="320" spans="1:9" hidden="1" x14ac:dyDescent="0.3">
      <c r="A320" s="298" t="s">
        <v>925</v>
      </c>
      <c r="B320" s="298" t="s">
        <v>280</v>
      </c>
      <c r="C320" s="298" t="s">
        <v>692</v>
      </c>
      <c r="D320" s="298" t="s">
        <v>754</v>
      </c>
      <c r="E320" s="298">
        <v>26355.35</v>
      </c>
      <c r="F320" s="299">
        <v>27833.3</v>
      </c>
      <c r="G320" s="299">
        <v>33400</v>
      </c>
      <c r="H320" s="299"/>
      <c r="I320" s="299"/>
    </row>
    <row r="321" spans="1:9" hidden="1" x14ac:dyDescent="0.3">
      <c r="A321" s="298" t="s">
        <v>927</v>
      </c>
      <c r="B321" s="298" t="s">
        <v>280</v>
      </c>
      <c r="C321" s="298" t="s">
        <v>692</v>
      </c>
      <c r="D321" s="298" t="s">
        <v>756</v>
      </c>
      <c r="E321" s="298">
        <v>22975.49</v>
      </c>
      <c r="F321" s="299">
        <v>24333.3</v>
      </c>
      <c r="G321" s="299">
        <v>29200</v>
      </c>
      <c r="H321" s="299"/>
      <c r="I321" s="299"/>
    </row>
    <row r="322" spans="1:9" hidden="1" x14ac:dyDescent="0.3">
      <c r="A322" s="298" t="s">
        <v>929</v>
      </c>
      <c r="B322" s="298" t="s">
        <v>280</v>
      </c>
      <c r="C322" s="298" t="s">
        <v>692</v>
      </c>
      <c r="D322" s="298" t="s">
        <v>758</v>
      </c>
      <c r="E322" s="298">
        <v>25938.799999999999</v>
      </c>
      <c r="F322" s="299">
        <v>26666.7</v>
      </c>
      <c r="G322" s="299">
        <v>32000</v>
      </c>
      <c r="H322" s="299"/>
      <c r="I322" s="299"/>
    </row>
    <row r="323" spans="1:9" hidden="1" x14ac:dyDescent="0.3">
      <c r="A323" s="298" t="s">
        <v>931</v>
      </c>
      <c r="B323" s="298" t="s">
        <v>280</v>
      </c>
      <c r="C323" s="298" t="s">
        <v>692</v>
      </c>
      <c r="D323" s="298" t="s">
        <v>760</v>
      </c>
      <c r="E323" s="298">
        <v>3940.72</v>
      </c>
      <c r="F323" s="299">
        <v>5750</v>
      </c>
      <c r="G323" s="299">
        <v>6900</v>
      </c>
      <c r="H323" s="299"/>
      <c r="I323" s="299"/>
    </row>
    <row r="324" spans="1:9" hidden="1" x14ac:dyDescent="0.3">
      <c r="A324" s="298" t="s">
        <v>933</v>
      </c>
      <c r="B324" s="298" t="s">
        <v>283</v>
      </c>
      <c r="C324" s="298" t="s">
        <v>692</v>
      </c>
      <c r="D324" s="298" t="s">
        <v>762</v>
      </c>
      <c r="E324" s="298">
        <v>34910.6</v>
      </c>
      <c r="F324" s="299">
        <v>22000</v>
      </c>
      <c r="G324" s="299">
        <v>26400</v>
      </c>
      <c r="H324" s="299"/>
      <c r="I324" s="299"/>
    </row>
    <row r="325" spans="1:9" x14ac:dyDescent="0.3">
      <c r="A325" s="298" t="s">
        <v>935</v>
      </c>
      <c r="B325" s="298" t="s">
        <v>287</v>
      </c>
      <c r="C325" s="298" t="s">
        <v>692</v>
      </c>
      <c r="D325" s="298" t="s">
        <v>764</v>
      </c>
      <c r="E325" s="298">
        <v>19547.13</v>
      </c>
      <c r="F325" s="299">
        <v>17916.7</v>
      </c>
      <c r="G325" s="299">
        <v>21500</v>
      </c>
      <c r="H325" s="299"/>
      <c r="I325" s="299"/>
    </row>
    <row r="326" spans="1:9" hidden="1" x14ac:dyDescent="0.3">
      <c r="A326" s="298" t="s">
        <v>937</v>
      </c>
      <c r="B326" s="298" t="s">
        <v>306</v>
      </c>
      <c r="C326" s="298" t="s">
        <v>692</v>
      </c>
      <c r="D326" s="298" t="s">
        <v>766</v>
      </c>
      <c r="E326" s="298">
        <v>109.99</v>
      </c>
      <c r="F326" s="299">
        <v>0</v>
      </c>
      <c r="G326" s="299">
        <v>0</v>
      </c>
      <c r="H326" s="299"/>
      <c r="I326" s="299"/>
    </row>
    <row r="327" spans="1:9" hidden="1" x14ac:dyDescent="0.3">
      <c r="A327" s="298" t="s">
        <v>940</v>
      </c>
      <c r="B327" s="298" t="s">
        <v>412</v>
      </c>
      <c r="C327" s="298" t="s">
        <v>692</v>
      </c>
      <c r="D327" s="298" t="s">
        <v>770</v>
      </c>
      <c r="E327" s="298">
        <v>21898.240000000002</v>
      </c>
      <c r="F327" s="299">
        <v>21750</v>
      </c>
      <c r="G327" s="299">
        <v>26100</v>
      </c>
      <c r="H327" s="299"/>
      <c r="I327" s="299"/>
    </row>
    <row r="328" spans="1:9" hidden="1" x14ac:dyDescent="0.3">
      <c r="A328" s="298" t="s">
        <v>942</v>
      </c>
      <c r="B328" s="298" t="s">
        <v>412</v>
      </c>
      <c r="C328" s="298" t="s">
        <v>692</v>
      </c>
      <c r="D328" s="298" t="s">
        <v>772</v>
      </c>
      <c r="E328" s="298">
        <v>9750.99</v>
      </c>
      <c r="F328" s="299">
        <v>10416.700000000001</v>
      </c>
      <c r="G328" s="299">
        <v>12500</v>
      </c>
      <c r="H328" s="299"/>
      <c r="I328" s="299"/>
    </row>
    <row r="329" spans="1:9" hidden="1" x14ac:dyDescent="0.3">
      <c r="A329" s="298" t="s">
        <v>944</v>
      </c>
      <c r="B329" s="298" t="s">
        <v>412</v>
      </c>
      <c r="C329" s="298" t="s">
        <v>692</v>
      </c>
      <c r="D329" s="298" t="s">
        <v>774</v>
      </c>
      <c r="E329" s="298">
        <v>29779.86</v>
      </c>
      <c r="F329" s="299">
        <v>32250</v>
      </c>
      <c r="G329" s="299">
        <v>38700</v>
      </c>
      <c r="H329" s="299"/>
      <c r="I329" s="299"/>
    </row>
    <row r="330" spans="1:9" hidden="1" x14ac:dyDescent="0.3">
      <c r="A330" s="298" t="s">
        <v>946</v>
      </c>
      <c r="B330" s="298" t="s">
        <v>306</v>
      </c>
      <c r="C330" s="298" t="s">
        <v>692</v>
      </c>
      <c r="D330" s="298" t="s">
        <v>776</v>
      </c>
      <c r="E330" s="298">
        <v>733.92</v>
      </c>
      <c r="F330" s="299">
        <v>0</v>
      </c>
      <c r="G330" s="299">
        <v>0</v>
      </c>
      <c r="H330" s="299"/>
      <c r="I330" s="299"/>
    </row>
    <row r="331" spans="1:9" hidden="1" x14ac:dyDescent="0.3">
      <c r="A331" s="298" t="s">
        <v>948</v>
      </c>
      <c r="B331" s="298" t="s">
        <v>558</v>
      </c>
      <c r="C331" s="298" t="s">
        <v>692</v>
      </c>
      <c r="D331" s="298" t="s">
        <v>778</v>
      </c>
      <c r="E331" s="298">
        <v>20735.09</v>
      </c>
      <c r="F331" s="299">
        <v>20916.7</v>
      </c>
      <c r="G331" s="299">
        <v>25100</v>
      </c>
      <c r="H331" s="299"/>
      <c r="I331" s="299"/>
    </row>
    <row r="332" spans="1:9" hidden="1" x14ac:dyDescent="0.3">
      <c r="A332" s="298" t="s">
        <v>950</v>
      </c>
      <c r="B332" s="298" t="s">
        <v>561</v>
      </c>
      <c r="C332" s="298" t="s">
        <v>692</v>
      </c>
      <c r="D332" s="298" t="s">
        <v>780</v>
      </c>
      <c r="E332" s="298">
        <v>5362.38</v>
      </c>
      <c r="F332" s="299">
        <v>5833.3</v>
      </c>
      <c r="G332" s="299">
        <v>7000</v>
      </c>
      <c r="H332" s="299"/>
      <c r="I332" s="299"/>
    </row>
    <row r="333" spans="1:9" hidden="1" x14ac:dyDescent="0.3">
      <c r="A333" s="298" t="s">
        <v>952</v>
      </c>
      <c r="B333" s="298" t="s">
        <v>465</v>
      </c>
      <c r="C333" s="298" t="s">
        <v>1049</v>
      </c>
      <c r="D333" s="298" t="s">
        <v>1050</v>
      </c>
      <c r="E333" s="298">
        <v>128532.09</v>
      </c>
      <c r="F333" s="299">
        <v>134000</v>
      </c>
      <c r="G333" s="299">
        <v>160800</v>
      </c>
      <c r="H333" s="299"/>
      <c r="I333" s="299"/>
    </row>
    <row r="334" spans="1:9" hidden="1" x14ac:dyDescent="0.3">
      <c r="A334" s="298" t="s">
        <v>954</v>
      </c>
      <c r="B334" s="298" t="s">
        <v>473</v>
      </c>
      <c r="C334" s="298" t="s">
        <v>1049</v>
      </c>
      <c r="D334" s="298" t="s">
        <v>1052</v>
      </c>
      <c r="E334" s="298">
        <v>28518.01</v>
      </c>
      <c r="F334" s="299">
        <v>31416.7</v>
      </c>
      <c r="G334" s="299">
        <v>37700</v>
      </c>
      <c r="H334" s="299"/>
      <c r="I334" s="299"/>
    </row>
    <row r="335" spans="1:9" hidden="1" x14ac:dyDescent="0.3">
      <c r="A335" s="298" t="s">
        <v>956</v>
      </c>
      <c r="B335" s="298" t="s">
        <v>247</v>
      </c>
      <c r="C335" s="298" t="s">
        <v>1049</v>
      </c>
      <c r="D335" s="298" t="s">
        <v>1054</v>
      </c>
      <c r="E335" s="298">
        <v>6225.09</v>
      </c>
      <c r="F335" s="299">
        <v>6083.3</v>
      </c>
      <c r="G335" s="299">
        <v>7300</v>
      </c>
      <c r="H335" s="299"/>
      <c r="I335" s="299"/>
    </row>
    <row r="336" spans="1:9" hidden="1" x14ac:dyDescent="0.3">
      <c r="A336" s="298" t="s">
        <v>958</v>
      </c>
      <c r="B336" s="298" t="s">
        <v>480</v>
      </c>
      <c r="C336" s="298" t="s">
        <v>1049</v>
      </c>
      <c r="D336" s="298" t="s">
        <v>1056</v>
      </c>
      <c r="E336" s="298">
        <v>16241.44</v>
      </c>
      <c r="F336" s="299">
        <v>20000</v>
      </c>
      <c r="G336" s="299">
        <v>24000</v>
      </c>
      <c r="H336" s="299"/>
      <c r="I336" s="299"/>
    </row>
    <row r="337" spans="1:9" hidden="1" x14ac:dyDescent="0.3">
      <c r="A337" s="298" t="s">
        <v>960</v>
      </c>
      <c r="B337" s="298" t="s">
        <v>485</v>
      </c>
      <c r="C337" s="298" t="s">
        <v>1049</v>
      </c>
      <c r="D337" s="298" t="s">
        <v>1060</v>
      </c>
      <c r="E337" s="298">
        <v>9711.7999999999993</v>
      </c>
      <c r="F337" s="299">
        <v>10833.3</v>
      </c>
      <c r="G337" s="299">
        <v>13000</v>
      </c>
      <c r="H337" s="299"/>
      <c r="I337" s="299"/>
    </row>
    <row r="338" spans="1:9" hidden="1" x14ac:dyDescent="0.3">
      <c r="A338" s="298" t="s">
        <v>962</v>
      </c>
      <c r="B338" s="298" t="s">
        <v>465</v>
      </c>
      <c r="C338" s="298" t="s">
        <v>1049</v>
      </c>
      <c r="D338" s="298" t="s">
        <v>1062</v>
      </c>
      <c r="E338" s="298">
        <v>18334.8</v>
      </c>
      <c r="F338" s="299">
        <v>21583.3</v>
      </c>
      <c r="G338" s="299">
        <v>25900</v>
      </c>
      <c r="H338" s="299"/>
      <c r="I338" s="299"/>
    </row>
    <row r="339" spans="1:9" hidden="1" x14ac:dyDescent="0.3">
      <c r="A339" s="298" t="s">
        <v>964</v>
      </c>
      <c r="B339" s="298" t="s">
        <v>490</v>
      </c>
      <c r="C339" s="298" t="s">
        <v>1049</v>
      </c>
      <c r="D339" s="298" t="s">
        <v>1064</v>
      </c>
      <c r="E339" s="298">
        <v>4878.6899999999996</v>
      </c>
      <c r="F339" s="299">
        <v>4166.7</v>
      </c>
      <c r="G339" s="299">
        <v>5000</v>
      </c>
      <c r="H339" s="299"/>
      <c r="I339" s="299"/>
    </row>
    <row r="340" spans="1:9" hidden="1" x14ac:dyDescent="0.3">
      <c r="A340" s="298" t="s">
        <v>966</v>
      </c>
      <c r="B340" s="298" t="s">
        <v>280</v>
      </c>
      <c r="C340" s="298" t="s">
        <v>1049</v>
      </c>
      <c r="D340" s="298" t="s">
        <v>1066</v>
      </c>
      <c r="E340" s="298">
        <v>3542.68</v>
      </c>
      <c r="F340" s="299">
        <v>3500</v>
      </c>
      <c r="G340" s="299">
        <v>4200</v>
      </c>
      <c r="H340" s="299"/>
      <c r="I340" s="299"/>
    </row>
    <row r="341" spans="1:9" hidden="1" x14ac:dyDescent="0.3">
      <c r="A341" s="298" t="s">
        <v>968</v>
      </c>
      <c r="B341" s="298" t="s">
        <v>412</v>
      </c>
      <c r="C341" s="298" t="s">
        <v>1049</v>
      </c>
      <c r="D341" s="298" t="s">
        <v>1068</v>
      </c>
      <c r="E341" s="298">
        <v>14161.54</v>
      </c>
      <c r="F341" s="299">
        <v>18416.7</v>
      </c>
      <c r="G341" s="299">
        <v>22100</v>
      </c>
      <c r="H341" s="299"/>
      <c r="I341" s="299"/>
    </row>
    <row r="342" spans="1:9" hidden="1" x14ac:dyDescent="0.3">
      <c r="A342" s="298" t="s">
        <v>970</v>
      </c>
      <c r="B342" s="298" t="s">
        <v>251</v>
      </c>
      <c r="C342" s="298" t="s">
        <v>1049</v>
      </c>
      <c r="D342" s="298" t="s">
        <v>1073</v>
      </c>
      <c r="E342" s="298">
        <v>37386.300000000003</v>
      </c>
      <c r="F342" s="299">
        <v>41166.699999999997</v>
      </c>
      <c r="G342" s="299">
        <v>49400</v>
      </c>
      <c r="H342" s="299"/>
      <c r="I342" s="299"/>
    </row>
    <row r="343" spans="1:9" hidden="1" x14ac:dyDescent="0.3">
      <c r="A343" s="298" t="s">
        <v>972</v>
      </c>
      <c r="B343" s="298" t="s">
        <v>257</v>
      </c>
      <c r="C343" s="298" t="s">
        <v>1049</v>
      </c>
      <c r="D343" s="298" t="s">
        <v>1075</v>
      </c>
      <c r="E343" s="298">
        <v>3634.35</v>
      </c>
      <c r="F343" s="299">
        <v>0</v>
      </c>
      <c r="G343" s="299">
        <v>0</v>
      </c>
      <c r="H343" s="299"/>
      <c r="I343" s="299"/>
    </row>
    <row r="344" spans="1:9" hidden="1" x14ac:dyDescent="0.3">
      <c r="A344" s="298" t="s">
        <v>974</v>
      </c>
      <c r="B344" s="298" t="s">
        <v>490</v>
      </c>
      <c r="C344" s="298" t="s">
        <v>1049</v>
      </c>
      <c r="D344" s="298" t="s">
        <v>1077</v>
      </c>
      <c r="E344" s="298">
        <v>30920.37</v>
      </c>
      <c r="F344" s="299">
        <v>32833.300000000003</v>
      </c>
      <c r="G344" s="299">
        <v>39400</v>
      </c>
      <c r="H344" s="299"/>
      <c r="I344" s="299"/>
    </row>
    <row r="345" spans="1:9" hidden="1" x14ac:dyDescent="0.3">
      <c r="A345" s="298" t="s">
        <v>976</v>
      </c>
      <c r="B345" s="298" t="s">
        <v>508</v>
      </c>
      <c r="C345" s="298" t="s">
        <v>1049</v>
      </c>
      <c r="D345" s="298" t="s">
        <v>1079</v>
      </c>
      <c r="E345" s="298">
        <v>3597.93</v>
      </c>
      <c r="F345" s="299">
        <v>3583.3</v>
      </c>
      <c r="G345" s="299">
        <v>4300</v>
      </c>
      <c r="H345" s="299"/>
      <c r="I345" s="299"/>
    </row>
    <row r="346" spans="1:9" hidden="1" x14ac:dyDescent="0.3">
      <c r="A346" s="298" t="s">
        <v>978</v>
      </c>
      <c r="B346" s="298" t="s">
        <v>511</v>
      </c>
      <c r="C346" s="298" t="s">
        <v>1049</v>
      </c>
      <c r="D346" s="298" t="s">
        <v>1081</v>
      </c>
      <c r="E346" s="298">
        <v>13704.01</v>
      </c>
      <c r="F346" s="299">
        <v>15666.7</v>
      </c>
      <c r="G346" s="299">
        <v>18800</v>
      </c>
      <c r="H346" s="299"/>
      <c r="I346" s="299"/>
    </row>
    <row r="347" spans="1:9" hidden="1" x14ac:dyDescent="0.3">
      <c r="A347" s="298" t="s">
        <v>980</v>
      </c>
      <c r="B347" s="298" t="s">
        <v>425</v>
      </c>
      <c r="C347" s="298" t="s">
        <v>1049</v>
      </c>
      <c r="D347" s="298" t="s">
        <v>1083</v>
      </c>
      <c r="E347" s="298">
        <v>3766.87</v>
      </c>
      <c r="F347" s="299">
        <v>0</v>
      </c>
      <c r="G347" s="299">
        <v>0</v>
      </c>
      <c r="H347" s="299"/>
      <c r="I347" s="299"/>
    </row>
    <row r="348" spans="1:9" hidden="1" x14ac:dyDescent="0.3">
      <c r="A348" s="298" t="s">
        <v>982</v>
      </c>
      <c r="B348" s="298" t="s">
        <v>465</v>
      </c>
      <c r="C348" s="298" t="s">
        <v>1049</v>
      </c>
      <c r="D348" s="298" t="s">
        <v>1087</v>
      </c>
      <c r="E348" s="298">
        <v>17660.400000000001</v>
      </c>
      <c r="F348" s="299">
        <v>18083.3</v>
      </c>
      <c r="G348" s="299">
        <v>21700</v>
      </c>
      <c r="H348" s="299"/>
      <c r="I348" s="299"/>
    </row>
    <row r="349" spans="1:9" hidden="1" x14ac:dyDescent="0.3">
      <c r="A349" s="298" t="s">
        <v>984</v>
      </c>
      <c r="B349" s="298" t="s">
        <v>490</v>
      </c>
      <c r="C349" s="298" t="s">
        <v>1049</v>
      </c>
      <c r="D349" s="298" t="s">
        <v>1089</v>
      </c>
      <c r="E349" s="298">
        <v>7732.46</v>
      </c>
      <c r="F349" s="299">
        <v>5416.7</v>
      </c>
      <c r="G349" s="299">
        <v>6500</v>
      </c>
      <c r="H349" s="299"/>
      <c r="I349" s="299"/>
    </row>
    <row r="350" spans="1:9" hidden="1" x14ac:dyDescent="0.3">
      <c r="A350" s="298" t="s">
        <v>986</v>
      </c>
      <c r="B350" s="298" t="s">
        <v>425</v>
      </c>
      <c r="C350" s="298" t="s">
        <v>1049</v>
      </c>
      <c r="D350" s="298" t="s">
        <v>1091</v>
      </c>
      <c r="E350" s="298">
        <v>0</v>
      </c>
      <c r="F350" s="299">
        <v>3583.3</v>
      </c>
      <c r="G350" s="299">
        <v>4300</v>
      </c>
      <c r="H350" s="299"/>
      <c r="I350" s="299"/>
    </row>
    <row r="351" spans="1:9" hidden="1" x14ac:dyDescent="0.3">
      <c r="A351" s="298" t="s">
        <v>988</v>
      </c>
      <c r="B351" s="298" t="s">
        <v>280</v>
      </c>
      <c r="C351" s="298" t="s">
        <v>1049</v>
      </c>
      <c r="D351" s="298" t="s">
        <v>1097</v>
      </c>
      <c r="E351" s="298">
        <v>22952.69</v>
      </c>
      <c r="F351" s="299">
        <v>27500</v>
      </c>
      <c r="G351" s="299">
        <v>33000</v>
      </c>
      <c r="H351" s="299"/>
      <c r="I351" s="299"/>
    </row>
    <row r="352" spans="1:9" hidden="1" x14ac:dyDescent="0.3">
      <c r="A352" s="298" t="s">
        <v>990</v>
      </c>
      <c r="B352" s="298" t="s">
        <v>303</v>
      </c>
      <c r="C352" s="298" t="s">
        <v>1049</v>
      </c>
      <c r="D352" s="298" t="s">
        <v>1099</v>
      </c>
      <c r="E352" s="298">
        <v>3631.87</v>
      </c>
      <c r="F352" s="299">
        <v>3583.3</v>
      </c>
      <c r="G352" s="299">
        <v>4300</v>
      </c>
      <c r="H352" s="299"/>
      <c r="I352" s="299"/>
    </row>
    <row r="353" spans="1:9" hidden="1" x14ac:dyDescent="0.3">
      <c r="A353" s="298" t="s">
        <v>992</v>
      </c>
      <c r="B353" s="298" t="s">
        <v>280</v>
      </c>
      <c r="C353" s="298" t="s">
        <v>1049</v>
      </c>
      <c r="D353" s="298" t="s">
        <v>1101</v>
      </c>
      <c r="E353" s="298">
        <v>16624.8</v>
      </c>
      <c r="F353" s="299">
        <v>19500</v>
      </c>
      <c r="G353" s="299">
        <v>23400</v>
      </c>
      <c r="H353" s="299"/>
      <c r="I353" s="299"/>
    </row>
    <row r="354" spans="1:9" hidden="1" x14ac:dyDescent="0.3">
      <c r="A354" s="298" t="s">
        <v>994</v>
      </c>
      <c r="B354" s="298" t="s">
        <v>280</v>
      </c>
      <c r="C354" s="298" t="s">
        <v>1049</v>
      </c>
      <c r="D354" s="298" t="s">
        <v>1103</v>
      </c>
      <c r="E354" s="298">
        <v>3718.77</v>
      </c>
      <c r="F354" s="299">
        <v>3583.3</v>
      </c>
      <c r="G354" s="299">
        <v>4300</v>
      </c>
      <c r="H354" s="299"/>
      <c r="I354" s="299"/>
    </row>
    <row r="355" spans="1:9" hidden="1" x14ac:dyDescent="0.3">
      <c r="A355" s="298" t="s">
        <v>996</v>
      </c>
      <c r="B355" s="298" t="s">
        <v>280</v>
      </c>
      <c r="C355" s="298" t="s">
        <v>1049</v>
      </c>
      <c r="D355" s="298" t="s">
        <v>1105</v>
      </c>
      <c r="E355" s="298">
        <v>8899.9699999999993</v>
      </c>
      <c r="F355" s="299">
        <v>10333.299999999999</v>
      </c>
      <c r="G355" s="299">
        <v>12400</v>
      </c>
      <c r="H355" s="299"/>
      <c r="I355" s="299"/>
    </row>
    <row r="356" spans="1:9" hidden="1" x14ac:dyDescent="0.3">
      <c r="A356" s="298" t="s">
        <v>998</v>
      </c>
      <c r="B356" s="298" t="s">
        <v>280</v>
      </c>
      <c r="C356" s="298" t="s">
        <v>1049</v>
      </c>
      <c r="D356" s="298" t="s">
        <v>1107</v>
      </c>
      <c r="E356" s="298">
        <v>41321.94</v>
      </c>
      <c r="F356" s="299">
        <v>44166.7</v>
      </c>
      <c r="G356" s="299">
        <v>53000</v>
      </c>
      <c r="H356" s="299"/>
      <c r="I356" s="299"/>
    </row>
    <row r="357" spans="1:9" hidden="1" x14ac:dyDescent="0.3">
      <c r="A357" s="298" t="s">
        <v>1000</v>
      </c>
      <c r="B357" s="298" t="s">
        <v>280</v>
      </c>
      <c r="C357" s="298" t="s">
        <v>1049</v>
      </c>
      <c r="D357" s="298" t="s">
        <v>1109</v>
      </c>
      <c r="E357" s="298">
        <v>41332.06</v>
      </c>
      <c r="F357" s="299">
        <v>41500</v>
      </c>
      <c r="G357" s="299">
        <v>49800</v>
      </c>
      <c r="H357" s="299"/>
      <c r="I357" s="299"/>
    </row>
    <row r="358" spans="1:9" hidden="1" x14ac:dyDescent="0.3">
      <c r="A358" s="298" t="s">
        <v>1002</v>
      </c>
      <c r="B358" s="298" t="s">
        <v>280</v>
      </c>
      <c r="C358" s="298" t="s">
        <v>1049</v>
      </c>
      <c r="D358" s="298" t="s">
        <v>1111</v>
      </c>
      <c r="E358" s="298">
        <v>108.09</v>
      </c>
      <c r="F358" s="299">
        <v>0</v>
      </c>
      <c r="G358" s="299">
        <v>0</v>
      </c>
      <c r="H358" s="299"/>
      <c r="I358" s="299"/>
    </row>
    <row r="359" spans="1:9" hidden="1" x14ac:dyDescent="0.3">
      <c r="A359" s="298" t="s">
        <v>1004</v>
      </c>
      <c r="B359" s="298" t="s">
        <v>280</v>
      </c>
      <c r="C359" s="298" t="s">
        <v>1049</v>
      </c>
      <c r="D359" s="298" t="s">
        <v>1113</v>
      </c>
      <c r="E359" s="298">
        <v>42993.51</v>
      </c>
      <c r="F359" s="299">
        <v>43666.7</v>
      </c>
      <c r="G359" s="299">
        <v>52400</v>
      </c>
      <c r="H359" s="299"/>
      <c r="I359" s="299"/>
    </row>
    <row r="360" spans="1:9" hidden="1" x14ac:dyDescent="0.3">
      <c r="A360" s="298" t="s">
        <v>1006</v>
      </c>
      <c r="B360" s="298" t="s">
        <v>280</v>
      </c>
      <c r="C360" s="298" t="s">
        <v>1049</v>
      </c>
      <c r="D360" s="298" t="s">
        <v>1115</v>
      </c>
      <c r="E360" s="298">
        <v>7501.05</v>
      </c>
      <c r="F360" s="299">
        <v>9166.7000000000007</v>
      </c>
      <c r="G360" s="299">
        <v>11000</v>
      </c>
      <c r="H360" s="299"/>
      <c r="I360" s="299"/>
    </row>
    <row r="361" spans="1:9" hidden="1" x14ac:dyDescent="0.3">
      <c r="A361" s="298" t="s">
        <v>1008</v>
      </c>
      <c r="B361" s="298" t="s">
        <v>283</v>
      </c>
      <c r="C361" s="298" t="s">
        <v>1049</v>
      </c>
      <c r="D361" s="298" t="s">
        <v>1117</v>
      </c>
      <c r="E361" s="298">
        <v>33085.800000000003</v>
      </c>
      <c r="F361" s="299">
        <v>35250</v>
      </c>
      <c r="G361" s="299">
        <v>42300</v>
      </c>
      <c r="H361" s="299"/>
      <c r="I361" s="299"/>
    </row>
    <row r="362" spans="1:9" hidden="1" x14ac:dyDescent="0.3">
      <c r="A362" s="298" t="s">
        <v>1010</v>
      </c>
      <c r="B362" s="298" t="s">
        <v>306</v>
      </c>
      <c r="C362" s="298" t="s">
        <v>1049</v>
      </c>
      <c r="D362" s="298" t="s">
        <v>1122</v>
      </c>
      <c r="E362" s="298">
        <v>71.39</v>
      </c>
      <c r="F362" s="299">
        <v>0</v>
      </c>
      <c r="G362" s="299">
        <v>0</v>
      </c>
      <c r="H362" s="299"/>
      <c r="I362" s="299"/>
    </row>
    <row r="363" spans="1:9" hidden="1" x14ac:dyDescent="0.3">
      <c r="A363" s="298" t="s">
        <v>1012</v>
      </c>
      <c r="B363" s="298" t="s">
        <v>412</v>
      </c>
      <c r="C363" s="298" t="s">
        <v>1049</v>
      </c>
      <c r="D363" s="298" t="s">
        <v>1126</v>
      </c>
      <c r="E363" s="298">
        <v>31183.72</v>
      </c>
      <c r="F363" s="299">
        <v>34916.699999999997</v>
      </c>
      <c r="G363" s="299">
        <v>41900</v>
      </c>
      <c r="H363" s="299"/>
      <c r="I363" s="299"/>
    </row>
    <row r="364" spans="1:9" hidden="1" x14ac:dyDescent="0.3">
      <c r="A364" s="298" t="s">
        <v>1014</v>
      </c>
      <c r="B364" s="298" t="s">
        <v>412</v>
      </c>
      <c r="C364" s="298" t="s">
        <v>1049</v>
      </c>
      <c r="D364" s="298" t="s">
        <v>1128</v>
      </c>
      <c r="E364" s="298">
        <v>14244.17</v>
      </c>
      <c r="F364" s="299">
        <v>16750</v>
      </c>
      <c r="G364" s="299">
        <v>20100</v>
      </c>
      <c r="H364" s="299"/>
      <c r="I364" s="299"/>
    </row>
    <row r="365" spans="1:9" hidden="1" x14ac:dyDescent="0.3">
      <c r="A365" s="298" t="s">
        <v>1016</v>
      </c>
      <c r="B365" s="298" t="s">
        <v>412</v>
      </c>
      <c r="C365" s="298" t="s">
        <v>1049</v>
      </c>
      <c r="D365" s="298" t="s">
        <v>1130</v>
      </c>
      <c r="E365" s="298">
        <v>47670.7</v>
      </c>
      <c r="F365" s="299">
        <v>53333.3</v>
      </c>
      <c r="G365" s="299">
        <v>64000</v>
      </c>
      <c r="H365" s="299"/>
      <c r="I365" s="299"/>
    </row>
    <row r="366" spans="1:9" hidden="1" x14ac:dyDescent="0.3">
      <c r="A366" s="298" t="s">
        <v>1018</v>
      </c>
      <c r="B366" s="298" t="s">
        <v>306</v>
      </c>
      <c r="C366" s="298" t="s">
        <v>1049</v>
      </c>
      <c r="D366" s="298" t="s">
        <v>1132</v>
      </c>
      <c r="E366" s="298">
        <v>811.84</v>
      </c>
      <c r="F366" s="299">
        <v>0</v>
      </c>
      <c r="G366" s="299">
        <v>0</v>
      </c>
      <c r="H366" s="299"/>
      <c r="I366" s="299"/>
    </row>
    <row r="367" spans="1:9" hidden="1" x14ac:dyDescent="0.3">
      <c r="A367" s="298" t="s">
        <v>1020</v>
      </c>
      <c r="B367" s="298" t="s">
        <v>558</v>
      </c>
      <c r="C367" s="298" t="s">
        <v>1049</v>
      </c>
      <c r="D367" s="298" t="s">
        <v>1134</v>
      </c>
      <c r="E367" s="298">
        <v>31381.29</v>
      </c>
      <c r="F367" s="299">
        <v>33500</v>
      </c>
      <c r="G367" s="299">
        <v>40200</v>
      </c>
      <c r="H367" s="299"/>
      <c r="I367" s="299"/>
    </row>
    <row r="368" spans="1:9" hidden="1" x14ac:dyDescent="0.3">
      <c r="A368" s="298" t="s">
        <v>1023</v>
      </c>
      <c r="B368" s="298" t="s">
        <v>561</v>
      </c>
      <c r="C368" s="298" t="s">
        <v>1049</v>
      </c>
      <c r="D368" s="298" t="s">
        <v>1136</v>
      </c>
      <c r="E368" s="298">
        <v>9752.57</v>
      </c>
      <c r="F368" s="299">
        <v>10000</v>
      </c>
      <c r="G368" s="299">
        <v>12000</v>
      </c>
      <c r="H368" s="299"/>
      <c r="I368" s="299"/>
    </row>
    <row r="369" spans="1:9" hidden="1" x14ac:dyDescent="0.3">
      <c r="A369" s="298" t="s">
        <v>1025</v>
      </c>
      <c r="B369" s="298" t="s">
        <v>412</v>
      </c>
      <c r="C369" s="298" t="s">
        <v>1049</v>
      </c>
      <c r="D369" s="298" t="s">
        <v>1140</v>
      </c>
      <c r="E369" s="298">
        <v>10038.620000000001</v>
      </c>
      <c r="F369" s="299">
        <v>0</v>
      </c>
      <c r="G369" s="299">
        <v>0</v>
      </c>
      <c r="H369" s="299"/>
      <c r="I369" s="299"/>
    </row>
    <row r="370" spans="1:9" x14ac:dyDescent="0.3">
      <c r="A370" s="298" t="s">
        <v>1027</v>
      </c>
      <c r="B370" s="298" t="s">
        <v>287</v>
      </c>
      <c r="C370" s="298" t="s">
        <v>1119</v>
      </c>
      <c r="D370" s="298" t="s">
        <v>1120</v>
      </c>
      <c r="E370" s="298">
        <v>31924.27</v>
      </c>
      <c r="F370" s="299">
        <v>31666.7</v>
      </c>
      <c r="G370" s="299">
        <v>38000</v>
      </c>
      <c r="H370" s="299"/>
      <c r="I370" s="299"/>
    </row>
    <row r="371" spans="1:9" hidden="1" x14ac:dyDescent="0.3">
      <c r="A371" s="298" t="s">
        <v>1029</v>
      </c>
      <c r="B371" s="298" t="s">
        <v>473</v>
      </c>
      <c r="C371" s="298" t="s">
        <v>804</v>
      </c>
      <c r="D371" s="298" t="s">
        <v>807</v>
      </c>
      <c r="E371" s="298">
        <v>198.09</v>
      </c>
      <c r="F371" s="299">
        <v>0</v>
      </c>
      <c r="G371" s="299">
        <v>0</v>
      </c>
      <c r="H371" s="299"/>
      <c r="I371" s="299"/>
    </row>
    <row r="372" spans="1:9" hidden="1" x14ac:dyDescent="0.3">
      <c r="A372" s="298" t="s">
        <v>1031</v>
      </c>
      <c r="B372" s="298" t="s">
        <v>280</v>
      </c>
      <c r="C372" s="298" t="s">
        <v>804</v>
      </c>
      <c r="D372" s="298" t="s">
        <v>872</v>
      </c>
      <c r="E372" s="298">
        <v>1468.49</v>
      </c>
      <c r="F372" s="299">
        <v>2166.6999999999998</v>
      </c>
      <c r="G372" s="299">
        <v>2600</v>
      </c>
      <c r="H372" s="299"/>
      <c r="I372" s="299"/>
    </row>
    <row r="373" spans="1:9" hidden="1" x14ac:dyDescent="0.3">
      <c r="A373" s="298" t="s">
        <v>1033</v>
      </c>
      <c r="B373" s="298" t="s">
        <v>465</v>
      </c>
      <c r="C373" s="298" t="s">
        <v>804</v>
      </c>
      <c r="D373" s="298" t="s">
        <v>805</v>
      </c>
      <c r="E373" s="298">
        <v>27774.36</v>
      </c>
      <c r="F373" s="299">
        <v>29083.3</v>
      </c>
      <c r="G373" s="299">
        <v>34900</v>
      </c>
      <c r="H373" s="299"/>
      <c r="I373" s="299"/>
    </row>
    <row r="374" spans="1:9" hidden="1" x14ac:dyDescent="0.3">
      <c r="A374" s="298" t="s">
        <v>1036</v>
      </c>
      <c r="B374" s="298" t="s">
        <v>473</v>
      </c>
      <c r="C374" s="298" t="s">
        <v>804</v>
      </c>
      <c r="D374" s="298" t="s">
        <v>809</v>
      </c>
      <c r="E374" s="298">
        <v>5634.97</v>
      </c>
      <c r="F374" s="299">
        <v>6000</v>
      </c>
      <c r="G374" s="299">
        <v>7200</v>
      </c>
      <c r="H374" s="299"/>
      <c r="I374" s="299"/>
    </row>
    <row r="375" spans="1:9" hidden="1" x14ac:dyDescent="0.3">
      <c r="A375" s="298" t="s">
        <v>1038</v>
      </c>
      <c r="B375" s="298" t="s">
        <v>247</v>
      </c>
      <c r="C375" s="298" t="s">
        <v>804</v>
      </c>
      <c r="D375" s="298" t="s">
        <v>811</v>
      </c>
      <c r="E375" s="298">
        <v>1496.01</v>
      </c>
      <c r="F375" s="299">
        <v>1416.7</v>
      </c>
      <c r="G375" s="299">
        <v>1700</v>
      </c>
      <c r="H375" s="299"/>
      <c r="I375" s="299"/>
    </row>
    <row r="376" spans="1:9" hidden="1" x14ac:dyDescent="0.3">
      <c r="A376" s="298" t="s">
        <v>1040</v>
      </c>
      <c r="B376" s="298" t="s">
        <v>480</v>
      </c>
      <c r="C376" s="298" t="s">
        <v>804</v>
      </c>
      <c r="D376" s="298" t="s">
        <v>813</v>
      </c>
      <c r="E376" s="298">
        <v>4688.6099999999997</v>
      </c>
      <c r="F376" s="299">
        <v>4500</v>
      </c>
      <c r="G376" s="299">
        <v>5400</v>
      </c>
      <c r="H376" s="299"/>
      <c r="I376" s="299"/>
    </row>
    <row r="377" spans="1:9" hidden="1" x14ac:dyDescent="0.3">
      <c r="A377" s="298" t="s">
        <v>1042</v>
      </c>
      <c r="B377" s="298" t="s">
        <v>485</v>
      </c>
      <c r="C377" s="298" t="s">
        <v>804</v>
      </c>
      <c r="D377" s="298" t="s">
        <v>817</v>
      </c>
      <c r="E377" s="298">
        <v>2018.49</v>
      </c>
      <c r="F377" s="299">
        <v>1916.7</v>
      </c>
      <c r="G377" s="299">
        <v>2300</v>
      </c>
      <c r="H377" s="299"/>
      <c r="I377" s="299"/>
    </row>
    <row r="378" spans="1:9" hidden="1" x14ac:dyDescent="0.3">
      <c r="A378" s="298" t="s">
        <v>1044</v>
      </c>
      <c r="B378" s="298" t="s">
        <v>465</v>
      </c>
      <c r="C378" s="298" t="s">
        <v>804</v>
      </c>
      <c r="D378" s="298" t="s">
        <v>819</v>
      </c>
      <c r="E378" s="298">
        <v>4310.57</v>
      </c>
      <c r="F378" s="299">
        <v>4750</v>
      </c>
      <c r="G378" s="299">
        <v>5700</v>
      </c>
      <c r="H378" s="299"/>
      <c r="I378" s="299"/>
    </row>
    <row r="379" spans="1:9" hidden="1" x14ac:dyDescent="0.3">
      <c r="A379" s="298" t="s">
        <v>1046</v>
      </c>
      <c r="B379" s="298" t="s">
        <v>490</v>
      </c>
      <c r="C379" s="298" t="s">
        <v>804</v>
      </c>
      <c r="D379" s="298" t="s">
        <v>821</v>
      </c>
      <c r="E379" s="298">
        <v>1525.15</v>
      </c>
      <c r="F379" s="299">
        <v>1000</v>
      </c>
      <c r="G379" s="299">
        <v>1200</v>
      </c>
      <c r="H379" s="299"/>
      <c r="I379" s="299"/>
    </row>
    <row r="380" spans="1:9" hidden="1" x14ac:dyDescent="0.3">
      <c r="A380" s="298" t="s">
        <v>1048</v>
      </c>
      <c r="B380" s="298" t="s">
        <v>280</v>
      </c>
      <c r="C380" s="298" t="s">
        <v>804</v>
      </c>
      <c r="D380" s="298" t="s">
        <v>823</v>
      </c>
      <c r="E380" s="298">
        <v>775.42</v>
      </c>
      <c r="F380" s="299">
        <v>750</v>
      </c>
      <c r="G380" s="299">
        <v>900</v>
      </c>
      <c r="H380" s="299"/>
      <c r="I380" s="299"/>
    </row>
    <row r="381" spans="1:9" hidden="1" x14ac:dyDescent="0.3">
      <c r="A381" s="298" t="s">
        <v>1051</v>
      </c>
      <c r="B381" s="298" t="s">
        <v>412</v>
      </c>
      <c r="C381" s="298" t="s">
        <v>804</v>
      </c>
      <c r="D381" s="298" t="s">
        <v>825</v>
      </c>
      <c r="E381" s="298">
        <v>3776.57</v>
      </c>
      <c r="F381" s="299">
        <v>3750</v>
      </c>
      <c r="G381" s="299">
        <v>4500</v>
      </c>
      <c r="H381" s="299"/>
      <c r="I381" s="299"/>
    </row>
    <row r="382" spans="1:9" hidden="1" x14ac:dyDescent="0.3">
      <c r="A382" s="298" t="s">
        <v>1053</v>
      </c>
      <c r="B382" s="298" t="s">
        <v>251</v>
      </c>
      <c r="C382" s="298" t="s">
        <v>804</v>
      </c>
      <c r="D382" s="298" t="s">
        <v>830</v>
      </c>
      <c r="E382" s="298">
        <v>10727.1</v>
      </c>
      <c r="F382" s="299">
        <v>9833.2999999999993</v>
      </c>
      <c r="G382" s="299">
        <v>11800</v>
      </c>
      <c r="H382" s="299"/>
      <c r="I382" s="299"/>
    </row>
    <row r="383" spans="1:9" hidden="1" x14ac:dyDescent="0.3">
      <c r="A383" s="298" t="s">
        <v>1055</v>
      </c>
      <c r="B383" s="298" t="s">
        <v>257</v>
      </c>
      <c r="C383" s="298" t="s">
        <v>804</v>
      </c>
      <c r="D383" s="298" t="s">
        <v>832</v>
      </c>
      <c r="E383" s="298">
        <v>3050.06</v>
      </c>
      <c r="F383" s="299">
        <v>0</v>
      </c>
      <c r="G383" s="299">
        <v>0</v>
      </c>
      <c r="H383" s="299"/>
      <c r="I383" s="299"/>
    </row>
    <row r="384" spans="1:9" hidden="1" x14ac:dyDescent="0.3">
      <c r="A384" s="298" t="s">
        <v>1057</v>
      </c>
      <c r="B384" s="298" t="s">
        <v>490</v>
      </c>
      <c r="C384" s="298" t="s">
        <v>804</v>
      </c>
      <c r="D384" s="298" t="s">
        <v>834</v>
      </c>
      <c r="E384" s="298">
        <v>6509.18</v>
      </c>
      <c r="F384" s="299">
        <v>6916.7</v>
      </c>
      <c r="G384" s="299">
        <v>8300</v>
      </c>
      <c r="H384" s="299"/>
      <c r="I384" s="299"/>
    </row>
    <row r="385" spans="1:9" hidden="1" x14ac:dyDescent="0.3">
      <c r="A385" s="298" t="s">
        <v>1059</v>
      </c>
      <c r="B385" s="298" t="s">
        <v>508</v>
      </c>
      <c r="C385" s="298" t="s">
        <v>804</v>
      </c>
      <c r="D385" s="298" t="s">
        <v>836</v>
      </c>
      <c r="E385" s="298">
        <v>787.35</v>
      </c>
      <c r="F385" s="299">
        <v>833.3</v>
      </c>
      <c r="G385" s="299">
        <v>1000</v>
      </c>
      <c r="H385" s="299"/>
      <c r="I385" s="299"/>
    </row>
    <row r="386" spans="1:9" hidden="1" x14ac:dyDescent="0.3">
      <c r="A386" s="298" t="s">
        <v>1061</v>
      </c>
      <c r="B386" s="298" t="s">
        <v>511</v>
      </c>
      <c r="C386" s="298" t="s">
        <v>804</v>
      </c>
      <c r="D386" s="298" t="s">
        <v>838</v>
      </c>
      <c r="E386" s="298">
        <v>3513.42</v>
      </c>
      <c r="F386" s="299">
        <v>3250</v>
      </c>
      <c r="G386" s="299">
        <v>3900</v>
      </c>
      <c r="H386" s="299"/>
      <c r="I386" s="299"/>
    </row>
    <row r="387" spans="1:9" hidden="1" x14ac:dyDescent="0.3">
      <c r="A387" s="298" t="s">
        <v>1063</v>
      </c>
      <c r="B387" s="298" t="s">
        <v>465</v>
      </c>
      <c r="C387" s="298" t="s">
        <v>804</v>
      </c>
      <c r="D387" s="298" t="s">
        <v>846</v>
      </c>
      <c r="E387" s="298">
        <v>3865.75</v>
      </c>
      <c r="F387" s="299">
        <v>4000</v>
      </c>
      <c r="G387" s="299">
        <v>4800</v>
      </c>
      <c r="H387" s="299"/>
      <c r="I387" s="299"/>
    </row>
    <row r="388" spans="1:9" hidden="1" x14ac:dyDescent="0.3">
      <c r="A388" s="298" t="s">
        <v>1065</v>
      </c>
      <c r="B388" s="298" t="s">
        <v>490</v>
      </c>
      <c r="C388" s="298" t="s">
        <v>804</v>
      </c>
      <c r="D388" s="298" t="s">
        <v>848</v>
      </c>
      <c r="E388" s="298">
        <v>2307.73</v>
      </c>
      <c r="F388" s="299">
        <v>1583.3</v>
      </c>
      <c r="G388" s="299">
        <v>1900</v>
      </c>
      <c r="H388" s="299"/>
      <c r="I388" s="299"/>
    </row>
    <row r="389" spans="1:9" hidden="1" x14ac:dyDescent="0.3">
      <c r="A389" s="298" t="s">
        <v>1067</v>
      </c>
      <c r="B389" s="298" t="s">
        <v>425</v>
      </c>
      <c r="C389" s="298" t="s">
        <v>804</v>
      </c>
      <c r="D389" s="298" t="s">
        <v>850</v>
      </c>
      <c r="E389" s="298">
        <v>0</v>
      </c>
      <c r="F389" s="299">
        <v>833.3</v>
      </c>
      <c r="G389" s="299">
        <v>1000</v>
      </c>
      <c r="H389" s="299"/>
      <c r="I389" s="299"/>
    </row>
    <row r="390" spans="1:9" hidden="1" x14ac:dyDescent="0.3">
      <c r="A390" s="298" t="s">
        <v>1069</v>
      </c>
      <c r="B390" s="298" t="s">
        <v>280</v>
      </c>
      <c r="C390" s="298" t="s">
        <v>804</v>
      </c>
      <c r="D390" s="298" t="s">
        <v>856</v>
      </c>
      <c r="E390" s="298">
        <v>5104.9799999999996</v>
      </c>
      <c r="F390" s="299">
        <v>6083.3</v>
      </c>
      <c r="G390" s="299">
        <v>7300</v>
      </c>
      <c r="H390" s="299"/>
      <c r="I390" s="299"/>
    </row>
    <row r="391" spans="1:9" hidden="1" x14ac:dyDescent="0.3">
      <c r="A391" s="298" t="s">
        <v>1072</v>
      </c>
      <c r="B391" s="298" t="s">
        <v>303</v>
      </c>
      <c r="C391" s="298" t="s">
        <v>804</v>
      </c>
      <c r="D391" s="298" t="s">
        <v>858</v>
      </c>
      <c r="E391" s="298">
        <v>961.81</v>
      </c>
      <c r="F391" s="299">
        <v>750</v>
      </c>
      <c r="G391" s="299">
        <v>900</v>
      </c>
      <c r="H391" s="299"/>
      <c r="I391" s="299"/>
    </row>
    <row r="392" spans="1:9" hidden="1" x14ac:dyDescent="0.3">
      <c r="A392" s="298" t="s">
        <v>1074</v>
      </c>
      <c r="B392" s="298" t="s">
        <v>280</v>
      </c>
      <c r="C392" s="298" t="s">
        <v>804</v>
      </c>
      <c r="D392" s="298" t="s">
        <v>860</v>
      </c>
      <c r="E392" s="298">
        <v>5678.18</v>
      </c>
      <c r="F392" s="299">
        <v>4583.3</v>
      </c>
      <c r="G392" s="299">
        <v>5500</v>
      </c>
      <c r="H392" s="299"/>
      <c r="I392" s="299"/>
    </row>
    <row r="393" spans="1:9" hidden="1" x14ac:dyDescent="0.3">
      <c r="A393" s="298" t="s">
        <v>1076</v>
      </c>
      <c r="B393" s="298" t="s">
        <v>280</v>
      </c>
      <c r="C393" s="298" t="s">
        <v>804</v>
      </c>
      <c r="D393" s="298" t="s">
        <v>862</v>
      </c>
      <c r="E393" s="298">
        <v>815.32</v>
      </c>
      <c r="F393" s="299">
        <v>833.3</v>
      </c>
      <c r="G393" s="299">
        <v>1000</v>
      </c>
      <c r="H393" s="299"/>
      <c r="I393" s="299"/>
    </row>
    <row r="394" spans="1:9" hidden="1" x14ac:dyDescent="0.3">
      <c r="A394" s="298" t="s">
        <v>1078</v>
      </c>
      <c r="B394" s="298" t="s">
        <v>280</v>
      </c>
      <c r="C394" s="298" t="s">
        <v>804</v>
      </c>
      <c r="D394" s="298" t="s">
        <v>864</v>
      </c>
      <c r="E394" s="298">
        <v>2688.68</v>
      </c>
      <c r="F394" s="299">
        <v>2416.6999999999998</v>
      </c>
      <c r="G394" s="299">
        <v>2900</v>
      </c>
      <c r="H394" s="299"/>
      <c r="I394" s="299"/>
    </row>
    <row r="395" spans="1:9" hidden="1" x14ac:dyDescent="0.3">
      <c r="A395" s="298" t="s">
        <v>1080</v>
      </c>
      <c r="B395" s="298" t="s">
        <v>280</v>
      </c>
      <c r="C395" s="298" t="s">
        <v>804</v>
      </c>
      <c r="D395" s="298" t="s">
        <v>866</v>
      </c>
      <c r="E395" s="298">
        <v>11053.52</v>
      </c>
      <c r="F395" s="299">
        <v>10416.700000000001</v>
      </c>
      <c r="G395" s="299">
        <v>12500</v>
      </c>
      <c r="H395" s="299"/>
      <c r="I395" s="299"/>
    </row>
    <row r="396" spans="1:9" hidden="1" x14ac:dyDescent="0.3">
      <c r="A396" s="298" t="s">
        <v>1082</v>
      </c>
      <c r="B396" s="298" t="s">
        <v>280</v>
      </c>
      <c r="C396" s="298" t="s">
        <v>804</v>
      </c>
      <c r="D396" s="298" t="s">
        <v>868</v>
      </c>
      <c r="E396" s="298">
        <v>9375.2800000000007</v>
      </c>
      <c r="F396" s="299">
        <v>9083.2999999999993</v>
      </c>
      <c r="G396" s="299">
        <v>10900</v>
      </c>
      <c r="H396" s="299"/>
      <c r="I396" s="299"/>
    </row>
    <row r="397" spans="1:9" hidden="1" x14ac:dyDescent="0.3">
      <c r="A397" s="298" t="s">
        <v>1084</v>
      </c>
      <c r="B397" s="298" t="s">
        <v>280</v>
      </c>
      <c r="C397" s="298" t="s">
        <v>804</v>
      </c>
      <c r="D397" s="298" t="s">
        <v>870</v>
      </c>
      <c r="E397" s="298">
        <v>11490.95</v>
      </c>
      <c r="F397" s="299">
        <v>9916.7000000000007</v>
      </c>
      <c r="G397" s="299">
        <v>11900</v>
      </c>
      <c r="H397" s="299"/>
      <c r="I397" s="299"/>
    </row>
    <row r="398" spans="1:9" hidden="1" x14ac:dyDescent="0.3">
      <c r="A398" s="298" t="s">
        <v>1086</v>
      </c>
      <c r="B398" s="298" t="s">
        <v>283</v>
      </c>
      <c r="C398" s="298" t="s">
        <v>804</v>
      </c>
      <c r="D398" s="298" t="s">
        <v>874</v>
      </c>
      <c r="E398" s="298">
        <v>8755.34</v>
      </c>
      <c r="F398" s="299">
        <v>8250</v>
      </c>
      <c r="G398" s="299">
        <v>9900</v>
      </c>
      <c r="H398" s="299"/>
      <c r="I398" s="299"/>
    </row>
    <row r="399" spans="1:9" x14ac:dyDescent="0.3">
      <c r="A399" s="298" t="s">
        <v>1088</v>
      </c>
      <c r="B399" s="298" t="s">
        <v>287</v>
      </c>
      <c r="C399" s="298" t="s">
        <v>804</v>
      </c>
      <c r="D399" s="298" t="s">
        <v>876</v>
      </c>
      <c r="E399" s="298">
        <v>8146.74</v>
      </c>
      <c r="F399" s="299">
        <v>6750</v>
      </c>
      <c r="G399" s="299">
        <v>8100</v>
      </c>
      <c r="H399" s="299"/>
      <c r="I399" s="299"/>
    </row>
    <row r="400" spans="1:9" hidden="1" x14ac:dyDescent="0.3">
      <c r="A400" s="298" t="s">
        <v>1090</v>
      </c>
      <c r="B400" s="298" t="s">
        <v>306</v>
      </c>
      <c r="C400" s="298" t="s">
        <v>804</v>
      </c>
      <c r="D400" s="298" t="s">
        <v>878</v>
      </c>
      <c r="E400" s="298">
        <v>74.75</v>
      </c>
      <c r="F400" s="299">
        <v>0</v>
      </c>
      <c r="G400" s="299">
        <v>0</v>
      </c>
      <c r="H400" s="299"/>
      <c r="I400" s="299"/>
    </row>
    <row r="401" spans="1:9" hidden="1" x14ac:dyDescent="0.3">
      <c r="A401" s="298" t="s">
        <v>1092</v>
      </c>
      <c r="B401" s="298" t="s">
        <v>412</v>
      </c>
      <c r="C401" s="298" t="s">
        <v>804</v>
      </c>
      <c r="D401" s="298" t="s">
        <v>882</v>
      </c>
      <c r="E401" s="298">
        <v>9665.01</v>
      </c>
      <c r="F401" s="299">
        <v>8166.7</v>
      </c>
      <c r="G401" s="299">
        <v>9800</v>
      </c>
      <c r="H401" s="299"/>
      <c r="I401" s="299"/>
    </row>
    <row r="402" spans="1:9" hidden="1" x14ac:dyDescent="0.3">
      <c r="A402" s="298" t="s">
        <v>1094</v>
      </c>
      <c r="B402" s="298" t="s">
        <v>412</v>
      </c>
      <c r="C402" s="298" t="s">
        <v>804</v>
      </c>
      <c r="D402" s="298" t="s">
        <v>884</v>
      </c>
      <c r="E402" s="298">
        <v>4406.96</v>
      </c>
      <c r="F402" s="299">
        <v>3916.7</v>
      </c>
      <c r="G402" s="299">
        <v>4700</v>
      </c>
      <c r="H402" s="299"/>
      <c r="I402" s="299"/>
    </row>
    <row r="403" spans="1:9" hidden="1" x14ac:dyDescent="0.3">
      <c r="A403" s="298" t="s">
        <v>1096</v>
      </c>
      <c r="B403" s="298" t="s">
        <v>412</v>
      </c>
      <c r="C403" s="298" t="s">
        <v>804</v>
      </c>
      <c r="D403" s="298" t="s">
        <v>886</v>
      </c>
      <c r="E403" s="298">
        <v>12979.33</v>
      </c>
      <c r="F403" s="299">
        <v>11916.7</v>
      </c>
      <c r="G403" s="299">
        <v>14300</v>
      </c>
      <c r="H403" s="299"/>
      <c r="I403" s="299"/>
    </row>
    <row r="404" spans="1:9" hidden="1" x14ac:dyDescent="0.3">
      <c r="A404" s="298" t="s">
        <v>1098</v>
      </c>
      <c r="B404" s="298" t="s">
        <v>306</v>
      </c>
      <c r="C404" s="298" t="s">
        <v>804</v>
      </c>
      <c r="D404" s="298" t="s">
        <v>888</v>
      </c>
      <c r="E404" s="298">
        <v>409.59</v>
      </c>
      <c r="F404" s="299">
        <v>0</v>
      </c>
      <c r="G404" s="299">
        <v>0</v>
      </c>
      <c r="H404" s="299"/>
      <c r="I404" s="299"/>
    </row>
    <row r="405" spans="1:9" hidden="1" x14ac:dyDescent="0.3">
      <c r="A405" s="298" t="s">
        <v>1100</v>
      </c>
      <c r="B405" s="298" t="s">
        <v>558</v>
      </c>
      <c r="C405" s="298" t="s">
        <v>804</v>
      </c>
      <c r="D405" s="298" t="s">
        <v>890</v>
      </c>
      <c r="E405" s="298">
        <v>9486.7800000000007</v>
      </c>
      <c r="F405" s="299">
        <v>7833.3</v>
      </c>
      <c r="G405" s="299">
        <v>9400</v>
      </c>
      <c r="H405" s="299"/>
      <c r="I405" s="299"/>
    </row>
    <row r="406" spans="1:9" hidden="1" x14ac:dyDescent="0.3">
      <c r="A406" s="298" t="s">
        <v>1102</v>
      </c>
      <c r="B406" s="298" t="s">
        <v>561</v>
      </c>
      <c r="C406" s="298" t="s">
        <v>804</v>
      </c>
      <c r="D406" s="298" t="s">
        <v>892</v>
      </c>
      <c r="E406" s="298">
        <v>2036.48</v>
      </c>
      <c r="F406" s="299">
        <v>2166.6999999999998</v>
      </c>
      <c r="G406" s="299">
        <v>2600</v>
      </c>
      <c r="H406" s="299"/>
      <c r="I406" s="299"/>
    </row>
    <row r="407" spans="1:9" hidden="1" x14ac:dyDescent="0.3">
      <c r="A407" s="298" t="s">
        <v>1104</v>
      </c>
      <c r="B407" s="298" t="s">
        <v>457</v>
      </c>
      <c r="C407" s="298" t="s">
        <v>1878</v>
      </c>
      <c r="D407" s="298" t="s">
        <v>1879</v>
      </c>
      <c r="E407" s="298">
        <v>18195.5</v>
      </c>
      <c r="F407" s="299">
        <v>20000</v>
      </c>
      <c r="G407" s="299">
        <v>34000</v>
      </c>
      <c r="H407" s="299"/>
      <c r="I407" s="299"/>
    </row>
    <row r="408" spans="1:9" hidden="1" x14ac:dyDescent="0.3">
      <c r="A408" s="298" t="s">
        <v>1106</v>
      </c>
      <c r="B408" s="298" t="s">
        <v>247</v>
      </c>
      <c r="C408" s="298" t="s">
        <v>1180</v>
      </c>
      <c r="D408" s="298" t="s">
        <v>1181</v>
      </c>
      <c r="E408" s="298">
        <v>1659.52</v>
      </c>
      <c r="F408" s="299">
        <v>1500</v>
      </c>
      <c r="G408" s="299">
        <v>1800</v>
      </c>
      <c r="H408" s="299"/>
      <c r="I408" s="299"/>
    </row>
    <row r="409" spans="1:9" hidden="1" x14ac:dyDescent="0.3">
      <c r="A409" s="298" t="s">
        <v>1108</v>
      </c>
      <c r="B409" s="298" t="s">
        <v>251</v>
      </c>
      <c r="C409" s="298" t="s">
        <v>1180</v>
      </c>
      <c r="D409" s="298" t="s">
        <v>1183</v>
      </c>
      <c r="E409" s="298">
        <v>11704.89</v>
      </c>
      <c r="F409" s="299">
        <v>14833.3</v>
      </c>
      <c r="G409" s="299">
        <v>17800</v>
      </c>
      <c r="H409" s="299"/>
      <c r="I409" s="299"/>
    </row>
    <row r="410" spans="1:9" hidden="1" x14ac:dyDescent="0.3">
      <c r="A410" s="298" t="s">
        <v>1110</v>
      </c>
      <c r="B410" s="298" t="s">
        <v>303</v>
      </c>
      <c r="C410" s="298" t="s">
        <v>1180</v>
      </c>
      <c r="D410" s="298" t="s">
        <v>1185</v>
      </c>
      <c r="E410" s="298">
        <v>0</v>
      </c>
      <c r="F410" s="299">
        <v>1500</v>
      </c>
      <c r="G410" s="299">
        <v>1800</v>
      </c>
      <c r="H410" s="299"/>
      <c r="I410" s="299"/>
    </row>
    <row r="411" spans="1:9" hidden="1" x14ac:dyDescent="0.3">
      <c r="A411" s="298" t="s">
        <v>1112</v>
      </c>
      <c r="B411" s="298" t="s">
        <v>280</v>
      </c>
      <c r="C411" s="298" t="s">
        <v>1180</v>
      </c>
      <c r="D411" s="298" t="s">
        <v>1187</v>
      </c>
      <c r="E411" s="298">
        <v>4981.68</v>
      </c>
      <c r="F411" s="299">
        <v>5916.7</v>
      </c>
      <c r="G411" s="299">
        <v>7100</v>
      </c>
      <c r="H411" s="299"/>
      <c r="I411" s="299"/>
    </row>
    <row r="412" spans="1:9" hidden="1" x14ac:dyDescent="0.3">
      <c r="A412" s="298" t="s">
        <v>1114</v>
      </c>
      <c r="B412" s="298" t="s">
        <v>283</v>
      </c>
      <c r="C412" s="298" t="s">
        <v>1180</v>
      </c>
      <c r="D412" s="298" t="s">
        <v>1189</v>
      </c>
      <c r="E412" s="298">
        <v>10738.42</v>
      </c>
      <c r="F412" s="299">
        <v>13333.3</v>
      </c>
      <c r="G412" s="299">
        <v>16000</v>
      </c>
      <c r="H412" s="299"/>
      <c r="I412" s="299"/>
    </row>
    <row r="413" spans="1:9" x14ac:dyDescent="0.3">
      <c r="A413" s="298" t="s">
        <v>1116</v>
      </c>
      <c r="B413" s="298" t="s">
        <v>287</v>
      </c>
      <c r="C413" s="298" t="s">
        <v>1180</v>
      </c>
      <c r="D413" s="298" t="s">
        <v>1191</v>
      </c>
      <c r="E413" s="298">
        <v>6204.98</v>
      </c>
      <c r="F413" s="299">
        <v>11833.3</v>
      </c>
      <c r="G413" s="299">
        <v>14200</v>
      </c>
      <c r="H413" s="299"/>
      <c r="I413" s="299"/>
    </row>
    <row r="414" spans="1:9" hidden="1" x14ac:dyDescent="0.3">
      <c r="A414" s="298" t="s">
        <v>1118</v>
      </c>
      <c r="B414" s="298" t="s">
        <v>402</v>
      </c>
      <c r="C414" s="298" t="s">
        <v>409</v>
      </c>
      <c r="D414" s="298" t="s">
        <v>418</v>
      </c>
      <c r="E414" s="298">
        <v>0</v>
      </c>
      <c r="F414" s="299">
        <v>-115500</v>
      </c>
      <c r="G414" s="299">
        <v>-138600</v>
      </c>
      <c r="H414" s="302"/>
      <c r="I414" s="299"/>
    </row>
    <row r="415" spans="1:9" hidden="1" x14ac:dyDescent="0.3">
      <c r="A415" s="298" t="s">
        <v>1121</v>
      </c>
      <c r="B415" s="298" t="s">
        <v>465</v>
      </c>
      <c r="C415" s="298" t="s">
        <v>915</v>
      </c>
      <c r="D415" s="298" t="s">
        <v>916</v>
      </c>
      <c r="E415" s="298">
        <v>29084.45</v>
      </c>
      <c r="F415" s="299">
        <v>30000</v>
      </c>
      <c r="G415" s="299">
        <v>36000</v>
      </c>
      <c r="H415" s="299"/>
      <c r="I415" s="299"/>
    </row>
    <row r="416" spans="1:9" hidden="1" x14ac:dyDescent="0.3">
      <c r="A416" s="298" t="s">
        <v>1123</v>
      </c>
      <c r="B416" s="298" t="s">
        <v>473</v>
      </c>
      <c r="C416" s="298" t="s">
        <v>915</v>
      </c>
      <c r="D416" s="298" t="s">
        <v>918</v>
      </c>
      <c r="E416" s="298">
        <v>171.45</v>
      </c>
      <c r="F416" s="299">
        <v>0</v>
      </c>
      <c r="G416" s="299">
        <v>0</v>
      </c>
      <c r="H416" s="299"/>
      <c r="I416" s="299"/>
    </row>
    <row r="417" spans="1:9" hidden="1" x14ac:dyDescent="0.3">
      <c r="A417" s="298" t="s">
        <v>1125</v>
      </c>
      <c r="B417" s="298" t="s">
        <v>473</v>
      </c>
      <c r="C417" s="298" t="s">
        <v>915</v>
      </c>
      <c r="D417" s="298" t="s">
        <v>920</v>
      </c>
      <c r="E417" s="298">
        <v>6606.17</v>
      </c>
      <c r="F417" s="299">
        <v>6916.7</v>
      </c>
      <c r="G417" s="299">
        <v>8300</v>
      </c>
      <c r="H417" s="299"/>
      <c r="I417" s="299"/>
    </row>
    <row r="418" spans="1:9" hidden="1" x14ac:dyDescent="0.3">
      <c r="A418" s="298" t="s">
        <v>1127</v>
      </c>
      <c r="B418" s="298" t="s">
        <v>247</v>
      </c>
      <c r="C418" s="298" t="s">
        <v>915</v>
      </c>
      <c r="D418" s="298" t="s">
        <v>922</v>
      </c>
      <c r="E418" s="298">
        <v>1441.16</v>
      </c>
      <c r="F418" s="299">
        <v>1416.7</v>
      </c>
      <c r="G418" s="299">
        <v>1700</v>
      </c>
      <c r="H418" s="299"/>
      <c r="I418" s="299"/>
    </row>
    <row r="419" spans="1:9" hidden="1" x14ac:dyDescent="0.3">
      <c r="A419" s="298" t="s">
        <v>1129</v>
      </c>
      <c r="B419" s="298" t="s">
        <v>480</v>
      </c>
      <c r="C419" s="298" t="s">
        <v>915</v>
      </c>
      <c r="D419" s="298" t="s">
        <v>924</v>
      </c>
      <c r="E419" s="298">
        <v>4496.74</v>
      </c>
      <c r="F419" s="299">
        <v>4583.3</v>
      </c>
      <c r="G419" s="299">
        <v>5500</v>
      </c>
      <c r="H419" s="299"/>
      <c r="I419" s="299"/>
    </row>
    <row r="420" spans="1:9" hidden="1" x14ac:dyDescent="0.3">
      <c r="A420" s="298" t="s">
        <v>1131</v>
      </c>
      <c r="B420" s="298" t="s">
        <v>485</v>
      </c>
      <c r="C420" s="298" t="s">
        <v>915</v>
      </c>
      <c r="D420" s="298" t="s">
        <v>928</v>
      </c>
      <c r="E420" s="298">
        <v>2431.4499999999998</v>
      </c>
      <c r="F420" s="299">
        <v>2333.3000000000002</v>
      </c>
      <c r="G420" s="299">
        <v>2800</v>
      </c>
      <c r="H420" s="299"/>
      <c r="I420" s="299"/>
    </row>
    <row r="421" spans="1:9" hidden="1" x14ac:dyDescent="0.3">
      <c r="A421" s="298" t="s">
        <v>1133</v>
      </c>
      <c r="B421" s="298" t="s">
        <v>465</v>
      </c>
      <c r="C421" s="298" t="s">
        <v>915</v>
      </c>
      <c r="D421" s="298" t="s">
        <v>930</v>
      </c>
      <c r="E421" s="298">
        <v>4430.1000000000004</v>
      </c>
      <c r="F421" s="299">
        <v>4833.3</v>
      </c>
      <c r="G421" s="299">
        <v>5800</v>
      </c>
      <c r="H421" s="299"/>
      <c r="I421" s="299"/>
    </row>
    <row r="422" spans="1:9" hidden="1" x14ac:dyDescent="0.3">
      <c r="A422" s="298" t="s">
        <v>1135</v>
      </c>
      <c r="B422" s="298" t="s">
        <v>490</v>
      </c>
      <c r="C422" s="298" t="s">
        <v>915</v>
      </c>
      <c r="D422" s="298" t="s">
        <v>932</v>
      </c>
      <c r="E422" s="298">
        <v>1451.59</v>
      </c>
      <c r="F422" s="299">
        <v>1083.3</v>
      </c>
      <c r="G422" s="299">
        <v>1300</v>
      </c>
      <c r="H422" s="299"/>
      <c r="I422" s="299"/>
    </row>
    <row r="423" spans="1:9" hidden="1" x14ac:dyDescent="0.3">
      <c r="A423" s="298" t="s">
        <v>1137</v>
      </c>
      <c r="B423" s="298" t="s">
        <v>280</v>
      </c>
      <c r="C423" s="298" t="s">
        <v>915</v>
      </c>
      <c r="D423" s="298" t="s">
        <v>934</v>
      </c>
      <c r="E423" s="298">
        <v>799.91</v>
      </c>
      <c r="F423" s="299">
        <v>750</v>
      </c>
      <c r="G423" s="299">
        <v>900</v>
      </c>
      <c r="H423" s="299"/>
      <c r="I423" s="299"/>
    </row>
    <row r="424" spans="1:9" hidden="1" x14ac:dyDescent="0.3">
      <c r="A424" s="298" t="s">
        <v>1139</v>
      </c>
      <c r="B424" s="298" t="s">
        <v>412</v>
      </c>
      <c r="C424" s="298" t="s">
        <v>915</v>
      </c>
      <c r="D424" s="298" t="s">
        <v>936</v>
      </c>
      <c r="E424" s="298">
        <v>4231.2299999999996</v>
      </c>
      <c r="F424" s="299">
        <v>4083.3</v>
      </c>
      <c r="G424" s="299">
        <v>4900</v>
      </c>
      <c r="H424" s="299"/>
      <c r="I424" s="299"/>
    </row>
    <row r="425" spans="1:9" hidden="1" x14ac:dyDescent="0.3">
      <c r="A425" s="298" t="s">
        <v>1141</v>
      </c>
      <c r="B425" s="298" t="s">
        <v>251</v>
      </c>
      <c r="C425" s="298" t="s">
        <v>915</v>
      </c>
      <c r="D425" s="298" t="s">
        <v>941</v>
      </c>
      <c r="E425" s="298">
        <v>10530.62</v>
      </c>
      <c r="F425" s="299">
        <v>10333.299999999999</v>
      </c>
      <c r="G425" s="299">
        <v>12400</v>
      </c>
      <c r="H425" s="299"/>
      <c r="I425" s="299"/>
    </row>
    <row r="426" spans="1:9" hidden="1" x14ac:dyDescent="0.3">
      <c r="A426" s="298" t="s">
        <v>1143</v>
      </c>
      <c r="B426" s="298" t="s">
        <v>257</v>
      </c>
      <c r="C426" s="298" t="s">
        <v>915</v>
      </c>
      <c r="D426" s="298" t="s">
        <v>943</v>
      </c>
      <c r="E426" s="298">
        <v>2770.78</v>
      </c>
      <c r="F426" s="299">
        <v>0</v>
      </c>
      <c r="G426" s="299">
        <v>0</v>
      </c>
      <c r="H426" s="299"/>
      <c r="I426" s="299"/>
    </row>
    <row r="427" spans="1:9" hidden="1" x14ac:dyDescent="0.3">
      <c r="A427" s="298" t="s">
        <v>1146</v>
      </c>
      <c r="B427" s="298" t="s">
        <v>490</v>
      </c>
      <c r="C427" s="298" t="s">
        <v>915</v>
      </c>
      <c r="D427" s="298" t="s">
        <v>945</v>
      </c>
      <c r="E427" s="298">
        <v>6910.05</v>
      </c>
      <c r="F427" s="299">
        <v>7333.3</v>
      </c>
      <c r="G427" s="299">
        <v>8800</v>
      </c>
      <c r="H427" s="299"/>
      <c r="I427" s="299"/>
    </row>
    <row r="428" spans="1:9" hidden="1" x14ac:dyDescent="0.3">
      <c r="A428" s="298" t="s">
        <v>1148</v>
      </c>
      <c r="B428" s="298" t="s">
        <v>508</v>
      </c>
      <c r="C428" s="298" t="s">
        <v>915</v>
      </c>
      <c r="D428" s="298" t="s">
        <v>947</v>
      </c>
      <c r="E428" s="298">
        <v>812.42</v>
      </c>
      <c r="F428" s="299">
        <v>833.3</v>
      </c>
      <c r="G428" s="299">
        <v>1000</v>
      </c>
      <c r="H428" s="299"/>
      <c r="I428" s="299"/>
    </row>
    <row r="429" spans="1:9" hidden="1" x14ac:dyDescent="0.3">
      <c r="A429" s="298" t="s">
        <v>1150</v>
      </c>
      <c r="B429" s="298" t="s">
        <v>511</v>
      </c>
      <c r="C429" s="298" t="s">
        <v>915</v>
      </c>
      <c r="D429" s="298" t="s">
        <v>949</v>
      </c>
      <c r="E429" s="298">
        <v>3828.84</v>
      </c>
      <c r="F429" s="299">
        <v>3500</v>
      </c>
      <c r="G429" s="299">
        <v>4200</v>
      </c>
      <c r="H429" s="299"/>
      <c r="I429" s="299"/>
    </row>
    <row r="430" spans="1:9" hidden="1" x14ac:dyDescent="0.3">
      <c r="A430" s="298" t="s">
        <v>1152</v>
      </c>
      <c r="B430" s="298" t="s">
        <v>465</v>
      </c>
      <c r="C430" s="298" t="s">
        <v>915</v>
      </c>
      <c r="D430" s="298" t="s">
        <v>957</v>
      </c>
      <c r="E430" s="298">
        <v>4006.83</v>
      </c>
      <c r="F430" s="299">
        <v>4083.3</v>
      </c>
      <c r="G430" s="299">
        <v>4900</v>
      </c>
      <c r="H430" s="299"/>
      <c r="I430" s="299"/>
    </row>
    <row r="431" spans="1:9" hidden="1" x14ac:dyDescent="0.3">
      <c r="A431" s="298" t="s">
        <v>1155</v>
      </c>
      <c r="B431" s="298" t="s">
        <v>490</v>
      </c>
      <c r="C431" s="298" t="s">
        <v>915</v>
      </c>
      <c r="D431" s="298" t="s">
        <v>959</v>
      </c>
      <c r="E431" s="298">
        <v>2263.21</v>
      </c>
      <c r="F431" s="299">
        <v>1666.7</v>
      </c>
      <c r="G431" s="299">
        <v>2000</v>
      </c>
      <c r="H431" s="299"/>
      <c r="I431" s="299"/>
    </row>
    <row r="432" spans="1:9" hidden="1" x14ac:dyDescent="0.3">
      <c r="A432" s="298" t="s">
        <v>1157</v>
      </c>
      <c r="B432" s="298" t="s">
        <v>425</v>
      </c>
      <c r="C432" s="298" t="s">
        <v>915</v>
      </c>
      <c r="D432" s="298" t="s">
        <v>961</v>
      </c>
      <c r="E432" s="298">
        <v>0</v>
      </c>
      <c r="F432" s="299">
        <v>833.3</v>
      </c>
      <c r="G432" s="299">
        <v>1000</v>
      </c>
      <c r="H432" s="299"/>
      <c r="I432" s="299"/>
    </row>
    <row r="433" spans="1:9" hidden="1" x14ac:dyDescent="0.3">
      <c r="A433" s="298" t="s">
        <v>1159</v>
      </c>
      <c r="B433" s="298" t="s">
        <v>280</v>
      </c>
      <c r="C433" s="298" t="s">
        <v>915</v>
      </c>
      <c r="D433" s="298" t="s">
        <v>967</v>
      </c>
      <c r="E433" s="298">
        <v>5226.59</v>
      </c>
      <c r="F433" s="299">
        <v>6166.7</v>
      </c>
      <c r="G433" s="299">
        <v>7400</v>
      </c>
      <c r="H433" s="299"/>
      <c r="I433" s="299"/>
    </row>
    <row r="434" spans="1:9" hidden="1" x14ac:dyDescent="0.3">
      <c r="A434" s="298" t="s">
        <v>1161</v>
      </c>
      <c r="B434" s="298" t="s">
        <v>303</v>
      </c>
      <c r="C434" s="298" t="s">
        <v>915</v>
      </c>
      <c r="D434" s="298" t="s">
        <v>969</v>
      </c>
      <c r="E434" s="298">
        <v>830.07</v>
      </c>
      <c r="F434" s="299">
        <v>833.3</v>
      </c>
      <c r="G434" s="299">
        <v>1000</v>
      </c>
      <c r="H434" s="299"/>
      <c r="I434" s="299"/>
    </row>
    <row r="435" spans="1:9" hidden="1" x14ac:dyDescent="0.3">
      <c r="A435" s="298" t="s">
        <v>1163</v>
      </c>
      <c r="B435" s="298" t="s">
        <v>280</v>
      </c>
      <c r="C435" s="298" t="s">
        <v>915</v>
      </c>
      <c r="D435" s="298" t="s">
        <v>971</v>
      </c>
      <c r="E435" s="298">
        <v>5341.51</v>
      </c>
      <c r="F435" s="299">
        <v>4666.7</v>
      </c>
      <c r="G435" s="299">
        <v>5600</v>
      </c>
      <c r="H435" s="299"/>
      <c r="I435" s="299"/>
    </row>
    <row r="436" spans="1:9" hidden="1" x14ac:dyDescent="0.3">
      <c r="A436" s="298" t="s">
        <v>1165</v>
      </c>
      <c r="B436" s="298" t="s">
        <v>280</v>
      </c>
      <c r="C436" s="298" t="s">
        <v>915</v>
      </c>
      <c r="D436" s="298" t="s">
        <v>973</v>
      </c>
      <c r="E436" s="298">
        <v>839.28</v>
      </c>
      <c r="F436" s="299">
        <v>833.3</v>
      </c>
      <c r="G436" s="299">
        <v>1000</v>
      </c>
      <c r="H436" s="299"/>
      <c r="I436" s="299"/>
    </row>
    <row r="437" spans="1:9" hidden="1" x14ac:dyDescent="0.3">
      <c r="A437" s="298" t="s">
        <v>1167</v>
      </c>
      <c r="B437" s="298" t="s">
        <v>280</v>
      </c>
      <c r="C437" s="298" t="s">
        <v>915</v>
      </c>
      <c r="D437" s="298" t="s">
        <v>975</v>
      </c>
      <c r="E437" s="298">
        <v>2489.02</v>
      </c>
      <c r="F437" s="299">
        <v>2500</v>
      </c>
      <c r="G437" s="299">
        <v>3000</v>
      </c>
      <c r="H437" s="299"/>
      <c r="I437" s="299"/>
    </row>
    <row r="438" spans="1:9" hidden="1" x14ac:dyDescent="0.3">
      <c r="A438" s="298" t="s">
        <v>1170</v>
      </c>
      <c r="B438" s="298" t="s">
        <v>280</v>
      </c>
      <c r="C438" s="298" t="s">
        <v>915</v>
      </c>
      <c r="D438" s="298" t="s">
        <v>977</v>
      </c>
      <c r="E438" s="298">
        <v>11261.66</v>
      </c>
      <c r="F438" s="299">
        <v>11000</v>
      </c>
      <c r="G438" s="299">
        <v>13200</v>
      </c>
      <c r="H438" s="299"/>
      <c r="I438" s="299"/>
    </row>
    <row r="439" spans="1:9" hidden="1" x14ac:dyDescent="0.3">
      <c r="A439" s="298" t="s">
        <v>1172</v>
      </c>
      <c r="B439" s="298" t="s">
        <v>280</v>
      </c>
      <c r="C439" s="298" t="s">
        <v>915</v>
      </c>
      <c r="D439" s="298" t="s">
        <v>979</v>
      </c>
      <c r="E439" s="298">
        <v>9458.16</v>
      </c>
      <c r="F439" s="299">
        <v>9333.2999999999993</v>
      </c>
      <c r="G439" s="299">
        <v>11200</v>
      </c>
      <c r="H439" s="299"/>
      <c r="I439" s="299"/>
    </row>
    <row r="440" spans="1:9" hidden="1" x14ac:dyDescent="0.3">
      <c r="A440" s="298" t="s">
        <v>1175</v>
      </c>
      <c r="B440" s="298" t="s">
        <v>280</v>
      </c>
      <c r="C440" s="298" t="s">
        <v>915</v>
      </c>
      <c r="D440" s="298" t="s">
        <v>981</v>
      </c>
      <c r="E440" s="298">
        <v>11002.57</v>
      </c>
      <c r="F440" s="299">
        <v>10333.299999999999</v>
      </c>
      <c r="G440" s="299">
        <v>12400</v>
      </c>
      <c r="H440" s="299"/>
      <c r="I440" s="299"/>
    </row>
    <row r="441" spans="1:9" hidden="1" x14ac:dyDescent="0.3">
      <c r="A441" s="298" t="s">
        <v>1177</v>
      </c>
      <c r="B441" s="298" t="s">
        <v>280</v>
      </c>
      <c r="C441" s="298" t="s">
        <v>915</v>
      </c>
      <c r="D441" s="298" t="s">
        <v>983</v>
      </c>
      <c r="E441" s="298">
        <v>1703.33</v>
      </c>
      <c r="F441" s="299">
        <v>2166.6999999999998</v>
      </c>
      <c r="G441" s="299">
        <v>2600</v>
      </c>
      <c r="H441" s="299"/>
      <c r="I441" s="299"/>
    </row>
    <row r="442" spans="1:9" hidden="1" x14ac:dyDescent="0.3">
      <c r="A442" s="298" t="s">
        <v>1179</v>
      </c>
      <c r="B442" s="298" t="s">
        <v>283</v>
      </c>
      <c r="C442" s="298" t="s">
        <v>915</v>
      </c>
      <c r="D442" s="298" t="s">
        <v>985</v>
      </c>
      <c r="E442" s="298">
        <v>8593.18</v>
      </c>
      <c r="F442" s="299">
        <v>8416.7000000000007</v>
      </c>
      <c r="G442" s="299">
        <v>10100</v>
      </c>
      <c r="H442" s="299"/>
      <c r="I442" s="299"/>
    </row>
    <row r="443" spans="1:9" x14ac:dyDescent="0.3">
      <c r="A443" s="298" t="s">
        <v>1182</v>
      </c>
      <c r="B443" s="298" t="s">
        <v>287</v>
      </c>
      <c r="C443" s="298" t="s">
        <v>915</v>
      </c>
      <c r="D443" s="298" t="s">
        <v>987</v>
      </c>
      <c r="E443" s="298">
        <v>8428.6299999999992</v>
      </c>
      <c r="F443" s="299">
        <v>7166.7</v>
      </c>
      <c r="G443" s="299">
        <v>8600</v>
      </c>
      <c r="H443" s="299"/>
      <c r="I443" s="299"/>
    </row>
    <row r="444" spans="1:9" hidden="1" x14ac:dyDescent="0.3">
      <c r="A444" s="298" t="s">
        <v>1184</v>
      </c>
      <c r="B444" s="298" t="s">
        <v>306</v>
      </c>
      <c r="C444" s="298" t="s">
        <v>915</v>
      </c>
      <c r="D444" s="298" t="s">
        <v>989</v>
      </c>
      <c r="E444" s="298">
        <v>67.569999999999993</v>
      </c>
      <c r="F444" s="299">
        <v>0</v>
      </c>
      <c r="G444" s="299">
        <v>0</v>
      </c>
      <c r="H444" s="299"/>
      <c r="I444" s="299"/>
    </row>
    <row r="445" spans="1:9" hidden="1" x14ac:dyDescent="0.3">
      <c r="A445" s="298" t="s">
        <v>1186</v>
      </c>
      <c r="B445" s="298" t="s">
        <v>412</v>
      </c>
      <c r="C445" s="298" t="s">
        <v>915</v>
      </c>
      <c r="D445" s="298" t="s">
        <v>993</v>
      </c>
      <c r="E445" s="298">
        <v>9362.48</v>
      </c>
      <c r="F445" s="299">
        <v>8333.2999999999993</v>
      </c>
      <c r="G445" s="299">
        <v>10000</v>
      </c>
      <c r="H445" s="299"/>
      <c r="I445" s="299"/>
    </row>
    <row r="446" spans="1:9" hidden="1" x14ac:dyDescent="0.3">
      <c r="A446" s="298" t="s">
        <v>1188</v>
      </c>
      <c r="B446" s="298" t="s">
        <v>412</v>
      </c>
      <c r="C446" s="298" t="s">
        <v>915</v>
      </c>
      <c r="D446" s="298" t="s">
        <v>995</v>
      </c>
      <c r="E446" s="298">
        <v>4097.17</v>
      </c>
      <c r="F446" s="299">
        <v>4000</v>
      </c>
      <c r="G446" s="299">
        <v>4800</v>
      </c>
      <c r="H446" s="299"/>
      <c r="I446" s="299"/>
    </row>
    <row r="447" spans="1:9" hidden="1" x14ac:dyDescent="0.3">
      <c r="A447" s="298" t="s">
        <v>1190</v>
      </c>
      <c r="B447" s="298" t="s">
        <v>412</v>
      </c>
      <c r="C447" s="298" t="s">
        <v>915</v>
      </c>
      <c r="D447" s="298" t="s">
        <v>997</v>
      </c>
      <c r="E447" s="298">
        <v>13527.14</v>
      </c>
      <c r="F447" s="299">
        <v>13000</v>
      </c>
      <c r="G447" s="299">
        <v>15600</v>
      </c>
      <c r="H447" s="299"/>
      <c r="I447" s="299"/>
    </row>
    <row r="448" spans="1:9" hidden="1" x14ac:dyDescent="0.3">
      <c r="A448" s="298" t="s">
        <v>1192</v>
      </c>
      <c r="B448" s="298" t="s">
        <v>306</v>
      </c>
      <c r="C448" s="298" t="s">
        <v>915</v>
      </c>
      <c r="D448" s="298" t="s">
        <v>999</v>
      </c>
      <c r="E448" s="298">
        <v>401.36</v>
      </c>
      <c r="F448" s="299">
        <v>0</v>
      </c>
      <c r="G448" s="299">
        <v>0</v>
      </c>
      <c r="H448" s="299"/>
      <c r="I448" s="299"/>
    </row>
    <row r="449" spans="1:9" hidden="1" x14ac:dyDescent="0.3">
      <c r="A449" s="298" t="s">
        <v>1195</v>
      </c>
      <c r="B449" s="298" t="s">
        <v>558</v>
      </c>
      <c r="C449" s="298" t="s">
        <v>915</v>
      </c>
      <c r="D449" s="298" t="s">
        <v>1001</v>
      </c>
      <c r="E449" s="298">
        <v>8683.75</v>
      </c>
      <c r="F449" s="299">
        <v>8000</v>
      </c>
      <c r="G449" s="299">
        <v>9600</v>
      </c>
      <c r="H449" s="299"/>
      <c r="I449" s="299"/>
    </row>
    <row r="450" spans="1:9" hidden="1" x14ac:dyDescent="0.3">
      <c r="A450" s="298" t="s">
        <v>1201</v>
      </c>
      <c r="B450" s="298" t="s">
        <v>561</v>
      </c>
      <c r="C450" s="298" t="s">
        <v>915</v>
      </c>
      <c r="D450" s="298" t="s">
        <v>1003</v>
      </c>
      <c r="E450" s="298">
        <v>2203.08</v>
      </c>
      <c r="F450" s="299">
        <v>2250</v>
      </c>
      <c r="G450" s="299">
        <v>2700</v>
      </c>
      <c r="H450" s="299"/>
      <c r="I450" s="299"/>
    </row>
    <row r="451" spans="1:9" hidden="1" x14ac:dyDescent="0.3">
      <c r="A451" s="298" t="s">
        <v>1204</v>
      </c>
      <c r="B451" s="298" t="s">
        <v>280</v>
      </c>
      <c r="C451" s="298" t="s">
        <v>915</v>
      </c>
      <c r="D451" s="298" t="s">
        <v>1011</v>
      </c>
      <c r="E451" s="298">
        <v>-3906.82</v>
      </c>
      <c r="F451" s="299">
        <v>-7083.3</v>
      </c>
      <c r="G451" s="299">
        <v>-8500</v>
      </c>
      <c r="H451" s="299"/>
      <c r="I451" s="299"/>
    </row>
    <row r="452" spans="1:9" hidden="1" x14ac:dyDescent="0.3">
      <c r="A452" s="298" t="s">
        <v>1206</v>
      </c>
      <c r="B452" s="298" t="s">
        <v>1021</v>
      </c>
      <c r="C452" s="298" t="s">
        <v>915</v>
      </c>
      <c r="D452" s="298" t="s">
        <v>1022</v>
      </c>
      <c r="E452" s="298">
        <v>-4060.54</v>
      </c>
      <c r="F452" s="299">
        <v>-7916.7</v>
      </c>
      <c r="G452" s="299">
        <v>-9500</v>
      </c>
      <c r="H452" s="299"/>
      <c r="I452" s="299"/>
    </row>
    <row r="453" spans="1:9" hidden="1" x14ac:dyDescent="0.3">
      <c r="A453" s="298" t="s">
        <v>1208</v>
      </c>
      <c r="B453" s="298" t="s">
        <v>473</v>
      </c>
      <c r="C453" s="298" t="s">
        <v>1153</v>
      </c>
      <c r="D453" s="298" t="s">
        <v>1154</v>
      </c>
      <c r="E453" s="298">
        <v>4386.2</v>
      </c>
      <c r="F453" s="299">
        <v>0</v>
      </c>
      <c r="G453" s="299">
        <v>0</v>
      </c>
      <c r="H453" s="299"/>
      <c r="I453" s="299"/>
    </row>
    <row r="454" spans="1:9" hidden="1" x14ac:dyDescent="0.3">
      <c r="A454" s="298" t="s">
        <v>1210</v>
      </c>
      <c r="B454" s="298" t="s">
        <v>247</v>
      </c>
      <c r="C454" s="298" t="s">
        <v>1153</v>
      </c>
      <c r="D454" s="298" t="s">
        <v>1156</v>
      </c>
      <c r="E454" s="298">
        <v>1188.54</v>
      </c>
      <c r="F454" s="299">
        <v>2833.3</v>
      </c>
      <c r="G454" s="299">
        <v>3400</v>
      </c>
      <c r="H454" s="299"/>
      <c r="I454" s="299"/>
    </row>
    <row r="455" spans="1:9" hidden="1" x14ac:dyDescent="0.3">
      <c r="A455" s="298" t="s">
        <v>1212</v>
      </c>
      <c r="B455" s="298" t="s">
        <v>251</v>
      </c>
      <c r="C455" s="298" t="s">
        <v>1153</v>
      </c>
      <c r="D455" s="298" t="s">
        <v>1158</v>
      </c>
      <c r="E455" s="298">
        <v>17033.87</v>
      </c>
      <c r="F455" s="299">
        <v>28250</v>
      </c>
      <c r="G455" s="299">
        <v>33900</v>
      </c>
      <c r="H455" s="299"/>
      <c r="I455" s="299"/>
    </row>
    <row r="456" spans="1:9" hidden="1" x14ac:dyDescent="0.3">
      <c r="A456" s="298" t="s">
        <v>1214</v>
      </c>
      <c r="B456" s="298" t="s">
        <v>303</v>
      </c>
      <c r="C456" s="298" t="s">
        <v>1153</v>
      </c>
      <c r="D456" s="298" t="s">
        <v>1160</v>
      </c>
      <c r="E456" s="298">
        <v>0</v>
      </c>
      <c r="F456" s="299">
        <v>2833.3</v>
      </c>
      <c r="G456" s="299">
        <v>3400</v>
      </c>
      <c r="H456" s="299"/>
      <c r="I456" s="299"/>
    </row>
    <row r="457" spans="1:9" hidden="1" x14ac:dyDescent="0.3">
      <c r="A457" s="298" t="s">
        <v>1216</v>
      </c>
      <c r="B457" s="298" t="s">
        <v>280</v>
      </c>
      <c r="C457" s="298" t="s">
        <v>1153</v>
      </c>
      <c r="D457" s="298" t="s">
        <v>1162</v>
      </c>
      <c r="E457" s="298">
        <v>7300.23</v>
      </c>
      <c r="F457" s="299">
        <v>11333.3</v>
      </c>
      <c r="G457" s="299">
        <v>13600</v>
      </c>
      <c r="H457" s="299"/>
      <c r="I457" s="299"/>
    </row>
    <row r="458" spans="1:9" hidden="1" x14ac:dyDescent="0.3">
      <c r="A458" s="298" t="s">
        <v>1218</v>
      </c>
      <c r="B458" s="298" t="s">
        <v>283</v>
      </c>
      <c r="C458" s="298" t="s">
        <v>1153</v>
      </c>
      <c r="D458" s="298" t="s">
        <v>1164</v>
      </c>
      <c r="E458" s="298">
        <v>15197.27</v>
      </c>
      <c r="F458" s="299">
        <v>25416.7</v>
      </c>
      <c r="G458" s="299">
        <v>30500</v>
      </c>
      <c r="H458" s="299"/>
      <c r="I458" s="299"/>
    </row>
    <row r="459" spans="1:9" x14ac:dyDescent="0.3">
      <c r="A459" s="298" t="s">
        <v>1220</v>
      </c>
      <c r="B459" s="298" t="s">
        <v>287</v>
      </c>
      <c r="C459" s="298" t="s">
        <v>1153</v>
      </c>
      <c r="D459" s="298" t="s">
        <v>1166</v>
      </c>
      <c r="E459" s="298">
        <v>10033.68</v>
      </c>
      <c r="F459" s="299">
        <v>22583.3</v>
      </c>
      <c r="G459" s="299">
        <v>27100</v>
      </c>
      <c r="H459" s="299"/>
      <c r="I459" s="299"/>
    </row>
    <row r="460" spans="1:9" hidden="1" x14ac:dyDescent="0.3">
      <c r="A460" s="298" t="s">
        <v>1222</v>
      </c>
      <c r="B460" s="298" t="s">
        <v>412</v>
      </c>
      <c r="C460" s="298" t="s">
        <v>1496</v>
      </c>
      <c r="D460" s="298" t="s">
        <v>1497</v>
      </c>
      <c r="E460" s="298">
        <v>0</v>
      </c>
      <c r="F460" s="299">
        <v>111105</v>
      </c>
      <c r="G460" s="299">
        <v>1800</v>
      </c>
      <c r="H460" s="299"/>
      <c r="I460" s="299"/>
    </row>
    <row r="461" spans="1:9" hidden="1" x14ac:dyDescent="0.3">
      <c r="A461" s="298" t="s">
        <v>1224</v>
      </c>
      <c r="B461" s="298" t="s">
        <v>2513</v>
      </c>
      <c r="C461" s="298" t="s">
        <v>2514</v>
      </c>
      <c r="D461" s="298" t="s">
        <v>2515</v>
      </c>
      <c r="E461" s="298">
        <v>189919.15</v>
      </c>
      <c r="F461" s="299">
        <v>213836.7</v>
      </c>
      <c r="G461" s="299">
        <v>256604</v>
      </c>
      <c r="H461" s="299">
        <f>+G461+14008</f>
        <v>270612</v>
      </c>
      <c r="I461" s="299"/>
    </row>
    <row r="462" spans="1:9" hidden="1" x14ac:dyDescent="0.3">
      <c r="A462" s="298" t="s">
        <v>1226</v>
      </c>
      <c r="B462" s="298" t="s">
        <v>2513</v>
      </c>
      <c r="C462" s="298" t="s">
        <v>2517</v>
      </c>
      <c r="D462" s="298" t="s">
        <v>2518</v>
      </c>
      <c r="E462" s="298">
        <v>174289.65</v>
      </c>
      <c r="F462" s="299">
        <v>247866.7</v>
      </c>
      <c r="G462" s="299">
        <v>297440</v>
      </c>
      <c r="H462" s="299">
        <f>+G462</f>
        <v>297440</v>
      </c>
      <c r="I462" s="299"/>
    </row>
    <row r="463" spans="1:9" hidden="1" x14ac:dyDescent="0.3">
      <c r="A463" s="298" t="s">
        <v>1228</v>
      </c>
      <c r="B463" s="298" t="s">
        <v>465</v>
      </c>
      <c r="C463" s="298" t="s">
        <v>799</v>
      </c>
      <c r="D463" s="298" t="s">
        <v>800</v>
      </c>
      <c r="E463" s="298">
        <v>1440.84</v>
      </c>
      <c r="F463" s="299">
        <v>0</v>
      </c>
      <c r="G463" s="299">
        <v>0</v>
      </c>
      <c r="H463" s="299"/>
      <c r="I463" s="299"/>
    </row>
    <row r="464" spans="1:9" hidden="1" x14ac:dyDescent="0.3">
      <c r="A464" s="298" t="s">
        <v>1230</v>
      </c>
      <c r="B464" s="298" t="s">
        <v>490</v>
      </c>
      <c r="C464" s="298" t="s">
        <v>1393</v>
      </c>
      <c r="D464" s="298" t="s">
        <v>1400</v>
      </c>
      <c r="E464" s="298">
        <v>1584.51</v>
      </c>
      <c r="F464" s="299">
        <v>1666.7</v>
      </c>
      <c r="G464" s="299">
        <v>2000</v>
      </c>
      <c r="H464" s="299">
        <f t="shared" ref="H464:H475" si="2">+E464/10*12</f>
        <v>1901.4119999999998</v>
      </c>
      <c r="I464" s="299"/>
    </row>
    <row r="465" spans="1:9" hidden="1" x14ac:dyDescent="0.3">
      <c r="A465" s="298" t="s">
        <v>1232</v>
      </c>
      <c r="B465" s="298" t="s">
        <v>422</v>
      </c>
      <c r="C465" s="298" t="s">
        <v>1393</v>
      </c>
      <c r="D465" s="298" t="s">
        <v>1394</v>
      </c>
      <c r="E465" s="298">
        <v>27641.06</v>
      </c>
      <c r="F465" s="299">
        <v>20833.3</v>
      </c>
      <c r="G465" s="299">
        <v>3000</v>
      </c>
      <c r="H465" s="299">
        <f t="shared" si="2"/>
        <v>33169.272000000004</v>
      </c>
      <c r="I465" s="299"/>
    </row>
    <row r="466" spans="1:9" hidden="1" x14ac:dyDescent="0.3">
      <c r="A466" s="298" t="s">
        <v>1234</v>
      </c>
      <c r="B466" s="298" t="s">
        <v>422</v>
      </c>
      <c r="C466" s="298" t="s">
        <v>1393</v>
      </c>
      <c r="D466" s="298" t="s">
        <v>1396</v>
      </c>
      <c r="E466" s="298">
        <v>6178.38</v>
      </c>
      <c r="F466" s="299">
        <v>4166.7</v>
      </c>
      <c r="G466" s="299">
        <v>25000</v>
      </c>
      <c r="H466" s="299">
        <f t="shared" si="2"/>
        <v>7414.0559999999996</v>
      </c>
      <c r="I466" s="299"/>
    </row>
    <row r="467" spans="1:9" hidden="1" x14ac:dyDescent="0.3">
      <c r="A467" s="298" t="s">
        <v>1236</v>
      </c>
      <c r="B467" s="298" t="s">
        <v>251</v>
      </c>
      <c r="C467" s="298" t="s">
        <v>1393</v>
      </c>
      <c r="D467" s="298" t="s">
        <v>1398</v>
      </c>
      <c r="E467" s="298">
        <v>3742.92</v>
      </c>
      <c r="F467" s="299">
        <v>4166.7</v>
      </c>
      <c r="G467" s="299">
        <v>5000</v>
      </c>
      <c r="H467" s="299">
        <f t="shared" si="2"/>
        <v>4491.5040000000008</v>
      </c>
      <c r="I467" s="298">
        <f>+H467-G467</f>
        <v>-508.49599999999919</v>
      </c>
    </row>
    <row r="468" spans="1:9" hidden="1" x14ac:dyDescent="0.3">
      <c r="A468" s="298" t="s">
        <v>1238</v>
      </c>
      <c r="B468" s="298" t="s">
        <v>422</v>
      </c>
      <c r="C468" s="298" t="s">
        <v>1393</v>
      </c>
      <c r="D468" s="298" t="s">
        <v>1402</v>
      </c>
      <c r="E468" s="298">
        <v>3666.11</v>
      </c>
      <c r="F468" s="299">
        <v>2500</v>
      </c>
      <c r="G468" s="299">
        <v>5000</v>
      </c>
      <c r="H468" s="299">
        <f t="shared" si="2"/>
        <v>4399.3320000000003</v>
      </c>
      <c r="I468" s="298">
        <f>+H468-G468</f>
        <v>-600.66799999999967</v>
      </c>
    </row>
    <row r="469" spans="1:9" hidden="1" x14ac:dyDescent="0.3">
      <c r="A469" s="298" t="s">
        <v>1240</v>
      </c>
      <c r="B469" s="305" t="s">
        <v>412</v>
      </c>
      <c r="C469" s="305" t="s">
        <v>1393</v>
      </c>
      <c r="D469" s="305" t="s">
        <v>1404</v>
      </c>
      <c r="E469" s="305">
        <v>12024.45</v>
      </c>
      <c r="F469" s="306">
        <v>8333.2999999999993</v>
      </c>
      <c r="G469" s="306">
        <v>3000</v>
      </c>
      <c r="H469" s="306">
        <f t="shared" si="2"/>
        <v>14429.340000000002</v>
      </c>
      <c r="I469" s="306"/>
    </row>
    <row r="470" spans="1:9" hidden="1" x14ac:dyDescent="0.3">
      <c r="A470" s="298" t="s">
        <v>1242</v>
      </c>
      <c r="B470" s="298" t="s">
        <v>460</v>
      </c>
      <c r="C470" s="298" t="s">
        <v>1393</v>
      </c>
      <c r="D470" s="298" t="s">
        <v>1408</v>
      </c>
      <c r="E470" s="298">
        <v>107527.56</v>
      </c>
      <c r="F470" s="299">
        <v>20833.3</v>
      </c>
      <c r="G470" s="299">
        <v>10000</v>
      </c>
      <c r="H470" s="299">
        <f t="shared" si="2"/>
        <v>129033.07199999999</v>
      </c>
      <c r="I470" s="299"/>
    </row>
    <row r="471" spans="1:9" hidden="1" x14ac:dyDescent="0.3">
      <c r="A471" s="298" t="s">
        <v>1244</v>
      </c>
      <c r="B471" s="298" t="s">
        <v>422</v>
      </c>
      <c r="C471" s="298" t="s">
        <v>1393</v>
      </c>
      <c r="D471" s="298" t="s">
        <v>1410</v>
      </c>
      <c r="E471" s="298">
        <v>368.98</v>
      </c>
      <c r="F471" s="299">
        <v>0</v>
      </c>
      <c r="G471" s="299">
        <v>25000</v>
      </c>
      <c r="H471" s="299">
        <f t="shared" si="2"/>
        <v>442.77600000000007</v>
      </c>
      <c r="I471" s="299"/>
    </row>
    <row r="472" spans="1:9" x14ac:dyDescent="0.3">
      <c r="A472" s="298" t="s">
        <v>1246</v>
      </c>
      <c r="B472" s="298" t="s">
        <v>287</v>
      </c>
      <c r="C472" s="298" t="s">
        <v>1393</v>
      </c>
      <c r="D472" s="298" t="s">
        <v>1412</v>
      </c>
      <c r="E472" s="298">
        <v>170.54</v>
      </c>
      <c r="F472" s="299">
        <v>0</v>
      </c>
      <c r="G472" s="299">
        <v>0</v>
      </c>
      <c r="H472" s="299">
        <f t="shared" si="2"/>
        <v>204.64799999999997</v>
      </c>
      <c r="I472" s="299"/>
    </row>
    <row r="473" spans="1:9" hidden="1" x14ac:dyDescent="0.3">
      <c r="A473" s="298" t="s">
        <v>1248</v>
      </c>
      <c r="B473" s="298" t="s">
        <v>290</v>
      </c>
      <c r="C473" s="298" t="s">
        <v>1393</v>
      </c>
      <c r="D473" s="298" t="s">
        <v>1414</v>
      </c>
      <c r="E473" s="298">
        <v>56.11</v>
      </c>
      <c r="F473" s="299">
        <v>0</v>
      </c>
      <c r="G473" s="299">
        <v>0</v>
      </c>
      <c r="H473" s="299">
        <f t="shared" si="2"/>
        <v>67.331999999999994</v>
      </c>
      <c r="I473" s="299"/>
    </row>
    <row r="474" spans="1:9" hidden="1" x14ac:dyDescent="0.3">
      <c r="A474" s="298" t="s">
        <v>1250</v>
      </c>
      <c r="B474" s="298" t="s">
        <v>412</v>
      </c>
      <c r="C474" s="298" t="s">
        <v>1393</v>
      </c>
      <c r="D474" s="298" t="s">
        <v>1416</v>
      </c>
      <c r="E474" s="298">
        <v>1409.16</v>
      </c>
      <c r="F474" s="299">
        <v>0</v>
      </c>
      <c r="G474" s="299">
        <v>0</v>
      </c>
      <c r="H474" s="299">
        <f t="shared" si="2"/>
        <v>1690.992</v>
      </c>
      <c r="I474" s="299"/>
    </row>
    <row r="475" spans="1:9" hidden="1" x14ac:dyDescent="0.3">
      <c r="A475" s="298" t="s">
        <v>1252</v>
      </c>
      <c r="B475" s="298" t="s">
        <v>422</v>
      </c>
      <c r="C475" s="298" t="s">
        <v>1393</v>
      </c>
      <c r="D475" s="298" t="s">
        <v>1642</v>
      </c>
      <c r="E475" s="298">
        <v>0</v>
      </c>
      <c r="F475" s="299">
        <v>8333.2999999999993</v>
      </c>
      <c r="G475" s="299">
        <v>10000</v>
      </c>
      <c r="H475" s="299">
        <f t="shared" si="2"/>
        <v>0</v>
      </c>
      <c r="I475" s="299"/>
    </row>
    <row r="476" spans="1:9" hidden="1" x14ac:dyDescent="0.3">
      <c r="A476" s="298" t="s">
        <v>1255</v>
      </c>
      <c r="B476" s="298" t="s">
        <v>422</v>
      </c>
      <c r="C476" s="298" t="s">
        <v>1144</v>
      </c>
      <c r="D476" s="298" t="s">
        <v>1145</v>
      </c>
      <c r="E476" s="298">
        <v>5984.64</v>
      </c>
      <c r="F476" s="299">
        <v>0</v>
      </c>
      <c r="G476" s="299">
        <v>0</v>
      </c>
      <c r="H476" s="299"/>
      <c r="I476" s="299"/>
    </row>
    <row r="477" spans="1:9" hidden="1" x14ac:dyDescent="0.3">
      <c r="A477" s="298" t="s">
        <v>1257</v>
      </c>
      <c r="B477" s="298" t="s">
        <v>457</v>
      </c>
      <c r="C477" s="298" t="s">
        <v>1144</v>
      </c>
      <c r="D477" s="298" t="s">
        <v>1147</v>
      </c>
      <c r="E477" s="298">
        <v>402172.86</v>
      </c>
      <c r="F477" s="299">
        <v>559250</v>
      </c>
      <c r="G477" s="299">
        <v>671100</v>
      </c>
      <c r="H477" s="299"/>
      <c r="I477" s="299"/>
    </row>
    <row r="478" spans="1:9" hidden="1" x14ac:dyDescent="0.3">
      <c r="A478" s="298" t="s">
        <v>1261</v>
      </c>
      <c r="B478" s="298" t="s">
        <v>402</v>
      </c>
      <c r="C478" s="298" t="s">
        <v>409</v>
      </c>
      <c r="D478" s="298" t="s">
        <v>420</v>
      </c>
      <c r="E478" s="298">
        <v>-71047.240000000005</v>
      </c>
      <c r="F478" s="299">
        <v>0</v>
      </c>
      <c r="G478" s="299">
        <v>0</v>
      </c>
      <c r="H478" s="303"/>
      <c r="I478" s="299"/>
    </row>
    <row r="479" spans="1:9" hidden="1" x14ac:dyDescent="0.3">
      <c r="A479" s="298" t="s">
        <v>1263</v>
      </c>
      <c r="B479" s="298" t="s">
        <v>402</v>
      </c>
      <c r="C479" s="298" t="s">
        <v>1144</v>
      </c>
      <c r="D479" s="298" t="s">
        <v>1149</v>
      </c>
      <c r="E479" s="298">
        <v>2433.41</v>
      </c>
      <c r="F479" s="299">
        <v>2833.3</v>
      </c>
      <c r="G479" s="299">
        <v>3400</v>
      </c>
      <c r="H479" s="299"/>
      <c r="I479" s="299"/>
    </row>
    <row r="480" spans="1:9" hidden="1" x14ac:dyDescent="0.3">
      <c r="A480" s="298" t="s">
        <v>1265</v>
      </c>
      <c r="B480" s="298" t="s">
        <v>465</v>
      </c>
      <c r="C480" s="298" t="s">
        <v>1144</v>
      </c>
      <c r="D480" s="298" t="s">
        <v>1151</v>
      </c>
      <c r="E480" s="298">
        <v>696.27</v>
      </c>
      <c r="F480" s="299">
        <v>0</v>
      </c>
      <c r="G480" s="299">
        <v>0</v>
      </c>
      <c r="H480" s="299"/>
      <c r="I480" s="299"/>
    </row>
    <row r="481" spans="1:9" hidden="1" x14ac:dyDescent="0.3">
      <c r="A481" s="298" t="s">
        <v>1270</v>
      </c>
      <c r="B481" s="298" t="s">
        <v>422</v>
      </c>
      <c r="C481" s="298" t="s">
        <v>451</v>
      </c>
      <c r="D481" s="298" t="s">
        <v>452</v>
      </c>
      <c r="E481" s="298">
        <v>354093.41</v>
      </c>
      <c r="F481" s="299">
        <v>323333.3</v>
      </c>
      <c r="G481" s="299">
        <v>388000</v>
      </c>
      <c r="H481" s="299"/>
      <c r="I481" s="299"/>
    </row>
    <row r="482" spans="1:9" hidden="1" x14ac:dyDescent="0.3">
      <c r="A482" s="298" t="s">
        <v>1272</v>
      </c>
      <c r="B482" s="298" t="s">
        <v>293</v>
      </c>
      <c r="C482" s="298" t="s">
        <v>2361</v>
      </c>
      <c r="D482" s="298" t="s">
        <v>2432</v>
      </c>
      <c r="E482" s="298">
        <v>519.70000000000005</v>
      </c>
      <c r="F482" s="299">
        <v>0</v>
      </c>
      <c r="G482" s="299">
        <v>0</v>
      </c>
      <c r="H482" s="299">
        <f t="shared" ref="H482:H545" si="3">+E482/10*12</f>
        <v>623.6400000000001</v>
      </c>
      <c r="I482" s="299"/>
    </row>
    <row r="483" spans="1:9" hidden="1" x14ac:dyDescent="0.3">
      <c r="A483" s="298" t="s">
        <v>1275</v>
      </c>
      <c r="B483" s="298" t="s">
        <v>293</v>
      </c>
      <c r="C483" s="298" t="s">
        <v>2361</v>
      </c>
      <c r="D483" s="298" t="s">
        <v>2434</v>
      </c>
      <c r="E483" s="298">
        <v>519.71</v>
      </c>
      <c r="F483" s="299">
        <v>0</v>
      </c>
      <c r="G483" s="299">
        <v>0</v>
      </c>
      <c r="H483" s="299">
        <f t="shared" si="3"/>
        <v>623.65200000000004</v>
      </c>
      <c r="I483" s="299"/>
    </row>
    <row r="484" spans="1:9" hidden="1" x14ac:dyDescent="0.3">
      <c r="A484" s="298" t="s">
        <v>1277</v>
      </c>
      <c r="B484" s="298" t="s">
        <v>293</v>
      </c>
      <c r="C484" s="298" t="s">
        <v>2361</v>
      </c>
      <c r="D484" s="298" t="s">
        <v>2436</v>
      </c>
      <c r="E484" s="298">
        <v>2696.46</v>
      </c>
      <c r="F484" s="299">
        <v>0</v>
      </c>
      <c r="G484" s="299">
        <v>0</v>
      </c>
      <c r="H484" s="299">
        <f t="shared" si="3"/>
        <v>3235.7520000000004</v>
      </c>
      <c r="I484" s="299"/>
    </row>
    <row r="485" spans="1:9" hidden="1" x14ac:dyDescent="0.3">
      <c r="A485" s="298" t="s">
        <v>1279</v>
      </c>
      <c r="B485" s="298" t="s">
        <v>280</v>
      </c>
      <c r="C485" s="298" t="s">
        <v>2361</v>
      </c>
      <c r="D485" s="298" t="s">
        <v>2438</v>
      </c>
      <c r="E485" s="298">
        <v>4354.9399999999996</v>
      </c>
      <c r="F485" s="299">
        <v>2083.3000000000002</v>
      </c>
      <c r="G485" s="299">
        <v>0</v>
      </c>
      <c r="H485" s="299">
        <f t="shared" si="3"/>
        <v>5225.9279999999999</v>
      </c>
      <c r="I485" s="299"/>
    </row>
    <row r="486" spans="1:9" hidden="1" x14ac:dyDescent="0.3">
      <c r="A486" s="298" t="s">
        <v>1281</v>
      </c>
      <c r="B486" s="298" t="s">
        <v>251</v>
      </c>
      <c r="C486" s="298" t="s">
        <v>1376</v>
      </c>
      <c r="D486" s="298" t="s">
        <v>1377</v>
      </c>
      <c r="E486" s="298">
        <v>28041.66</v>
      </c>
      <c r="F486" s="299">
        <v>25000</v>
      </c>
      <c r="G486" s="299">
        <v>30000</v>
      </c>
      <c r="H486" s="299">
        <f t="shared" si="3"/>
        <v>33649.991999999998</v>
      </c>
      <c r="I486" s="299"/>
    </row>
    <row r="487" spans="1:9" hidden="1" x14ac:dyDescent="0.3">
      <c r="A487" s="298" t="s">
        <v>1283</v>
      </c>
      <c r="B487" s="298" t="s">
        <v>257</v>
      </c>
      <c r="C487" s="298" t="s">
        <v>1376</v>
      </c>
      <c r="D487" s="298" t="s">
        <v>1379</v>
      </c>
      <c r="E487" s="298">
        <v>1784.23</v>
      </c>
      <c r="F487" s="299">
        <v>16666.7</v>
      </c>
      <c r="G487" s="299">
        <v>20000</v>
      </c>
      <c r="H487" s="299">
        <f t="shared" si="3"/>
        <v>2141.076</v>
      </c>
      <c r="I487" s="299"/>
    </row>
    <row r="488" spans="1:9" hidden="1" x14ac:dyDescent="0.3">
      <c r="A488" s="298" t="s">
        <v>1286</v>
      </c>
      <c r="B488" s="298" t="s">
        <v>490</v>
      </c>
      <c r="C488" s="298" t="s">
        <v>1393</v>
      </c>
      <c r="D488" s="298" t="s">
        <v>1648</v>
      </c>
      <c r="E488" s="298">
        <v>0</v>
      </c>
      <c r="F488" s="299">
        <v>4166.7</v>
      </c>
      <c r="G488" s="299">
        <v>5000</v>
      </c>
      <c r="H488" s="299">
        <f t="shared" si="3"/>
        <v>0</v>
      </c>
      <c r="I488" s="299"/>
    </row>
    <row r="489" spans="1:9" hidden="1" x14ac:dyDescent="0.3">
      <c r="A489" s="298" t="s">
        <v>1289</v>
      </c>
      <c r="B489" s="298" t="s">
        <v>422</v>
      </c>
      <c r="C489" s="298" t="s">
        <v>1393</v>
      </c>
      <c r="D489" s="298" t="s">
        <v>1650</v>
      </c>
      <c r="E489" s="298">
        <v>0</v>
      </c>
      <c r="F489" s="299">
        <v>2500</v>
      </c>
      <c r="G489" s="299">
        <v>3000</v>
      </c>
      <c r="H489" s="299">
        <f t="shared" si="3"/>
        <v>0</v>
      </c>
      <c r="I489" s="299"/>
    </row>
    <row r="490" spans="1:9" hidden="1" x14ac:dyDescent="0.3">
      <c r="A490" s="298" t="s">
        <v>1291</v>
      </c>
      <c r="B490" s="298" t="s">
        <v>412</v>
      </c>
      <c r="C490" s="298" t="s">
        <v>1393</v>
      </c>
      <c r="D490" s="298" t="s">
        <v>1652</v>
      </c>
      <c r="E490" s="298">
        <v>0</v>
      </c>
      <c r="F490" s="299">
        <v>4166.7</v>
      </c>
      <c r="G490" s="299">
        <v>5000</v>
      </c>
      <c r="H490" s="299">
        <f t="shared" si="3"/>
        <v>0</v>
      </c>
      <c r="I490" s="299"/>
    </row>
    <row r="491" spans="1:9" hidden="1" x14ac:dyDescent="0.3">
      <c r="A491" s="298" t="s">
        <v>1293</v>
      </c>
      <c r="B491" s="298" t="s">
        <v>422</v>
      </c>
      <c r="C491" s="298" t="s">
        <v>1393</v>
      </c>
      <c r="D491" s="298" t="s">
        <v>1406</v>
      </c>
      <c r="E491" s="298">
        <v>834.75</v>
      </c>
      <c r="F491" s="299">
        <v>0</v>
      </c>
      <c r="G491" s="299">
        <v>0</v>
      </c>
      <c r="H491" s="299">
        <f t="shared" si="3"/>
        <v>1001.6999999999999</v>
      </c>
      <c r="I491" s="299"/>
    </row>
    <row r="492" spans="1:9" hidden="1" x14ac:dyDescent="0.3">
      <c r="A492" s="298" t="s">
        <v>1295</v>
      </c>
      <c r="B492" s="298" t="s">
        <v>263</v>
      </c>
      <c r="C492" s="298" t="s">
        <v>2114</v>
      </c>
      <c r="D492" s="298" t="s">
        <v>2115</v>
      </c>
      <c r="E492" s="298">
        <v>9659.11</v>
      </c>
      <c r="F492" s="299">
        <v>0</v>
      </c>
      <c r="G492" s="299">
        <v>0</v>
      </c>
      <c r="H492" s="299">
        <f t="shared" si="3"/>
        <v>11590.932000000001</v>
      </c>
      <c r="I492" s="299"/>
    </row>
    <row r="493" spans="1:9" hidden="1" x14ac:dyDescent="0.3">
      <c r="A493" s="298" t="s">
        <v>1297</v>
      </c>
      <c r="B493" s="298" t="s">
        <v>263</v>
      </c>
      <c r="C493" s="298" t="s">
        <v>2114</v>
      </c>
      <c r="D493" s="298" t="s">
        <v>2117</v>
      </c>
      <c r="E493" s="298">
        <v>491.74</v>
      </c>
      <c r="F493" s="299">
        <v>0</v>
      </c>
      <c r="G493" s="299">
        <v>0</v>
      </c>
      <c r="H493" s="299">
        <f t="shared" si="3"/>
        <v>590.08799999999997</v>
      </c>
      <c r="I493" s="299"/>
    </row>
    <row r="494" spans="1:9" hidden="1" x14ac:dyDescent="0.3">
      <c r="A494" s="298" t="s">
        <v>1299</v>
      </c>
      <c r="B494" s="298" t="s">
        <v>1423</v>
      </c>
      <c r="C494" s="298" t="s">
        <v>2114</v>
      </c>
      <c r="D494" s="298" t="s">
        <v>2119</v>
      </c>
      <c r="E494" s="298">
        <v>4964.24</v>
      </c>
      <c r="F494" s="299">
        <v>5000</v>
      </c>
      <c r="G494" s="299">
        <v>6000</v>
      </c>
      <c r="H494" s="299">
        <f t="shared" si="3"/>
        <v>5957.0879999999997</v>
      </c>
      <c r="I494" s="299"/>
    </row>
    <row r="495" spans="1:9" hidden="1" x14ac:dyDescent="0.3">
      <c r="A495" s="298" t="s">
        <v>1301</v>
      </c>
      <c r="B495" s="298" t="s">
        <v>1423</v>
      </c>
      <c r="C495" s="298" t="s">
        <v>2114</v>
      </c>
      <c r="D495" s="298" t="s">
        <v>2121</v>
      </c>
      <c r="E495" s="298">
        <v>1517.45</v>
      </c>
      <c r="F495" s="299">
        <v>1550</v>
      </c>
      <c r="G495" s="299">
        <v>1860</v>
      </c>
      <c r="H495" s="299">
        <f t="shared" si="3"/>
        <v>1820.94</v>
      </c>
      <c r="I495" s="299"/>
    </row>
    <row r="496" spans="1:9" hidden="1" x14ac:dyDescent="0.3">
      <c r="A496" s="298" t="s">
        <v>1303</v>
      </c>
      <c r="B496" s="298" t="s">
        <v>1423</v>
      </c>
      <c r="C496" s="298" t="s">
        <v>2114</v>
      </c>
      <c r="D496" s="298" t="s">
        <v>2123</v>
      </c>
      <c r="E496" s="298">
        <v>3686.09</v>
      </c>
      <c r="F496" s="299">
        <v>4166.7</v>
      </c>
      <c r="G496" s="299">
        <v>5000</v>
      </c>
      <c r="H496" s="299">
        <f t="shared" si="3"/>
        <v>4423.3080000000009</v>
      </c>
      <c r="I496" s="299"/>
    </row>
    <row r="497" spans="1:9" hidden="1" x14ac:dyDescent="0.3">
      <c r="A497" s="298" t="s">
        <v>1305</v>
      </c>
      <c r="B497" s="298" t="s">
        <v>1423</v>
      </c>
      <c r="C497" s="298" t="s">
        <v>2114</v>
      </c>
      <c r="D497" s="298" t="s">
        <v>2125</v>
      </c>
      <c r="E497" s="298">
        <v>1282.46</v>
      </c>
      <c r="F497" s="299">
        <v>1666.7</v>
      </c>
      <c r="G497" s="299">
        <v>2000</v>
      </c>
      <c r="H497" s="299">
        <f t="shared" si="3"/>
        <v>1538.9520000000002</v>
      </c>
      <c r="I497" s="299"/>
    </row>
    <row r="498" spans="1:9" hidden="1" x14ac:dyDescent="0.3">
      <c r="A498" s="298" t="s">
        <v>1307</v>
      </c>
      <c r="B498" s="298" t="s">
        <v>293</v>
      </c>
      <c r="C498" s="298" t="s">
        <v>2114</v>
      </c>
      <c r="D498" s="298" t="s">
        <v>2131</v>
      </c>
      <c r="E498" s="298">
        <v>1368.41</v>
      </c>
      <c r="F498" s="299">
        <v>1833.3</v>
      </c>
      <c r="G498" s="299">
        <v>2200</v>
      </c>
      <c r="H498" s="299">
        <f t="shared" si="3"/>
        <v>1642.0920000000001</v>
      </c>
      <c r="I498" s="299"/>
    </row>
    <row r="499" spans="1:9" hidden="1" x14ac:dyDescent="0.3">
      <c r="A499" s="298" t="s">
        <v>1309</v>
      </c>
      <c r="B499" s="298" t="s">
        <v>293</v>
      </c>
      <c r="C499" s="298" t="s">
        <v>2114</v>
      </c>
      <c r="D499" s="298" t="s">
        <v>2133</v>
      </c>
      <c r="E499" s="298">
        <v>1370.08</v>
      </c>
      <c r="F499" s="299">
        <v>1916.7</v>
      </c>
      <c r="G499" s="299">
        <v>2300</v>
      </c>
      <c r="H499" s="299">
        <f t="shared" si="3"/>
        <v>1644.0959999999998</v>
      </c>
      <c r="I499" s="299"/>
    </row>
    <row r="500" spans="1:9" hidden="1" x14ac:dyDescent="0.3">
      <c r="A500" s="298" t="s">
        <v>1311</v>
      </c>
      <c r="B500" s="298" t="s">
        <v>293</v>
      </c>
      <c r="C500" s="298" t="s">
        <v>2114</v>
      </c>
      <c r="D500" s="298" t="s">
        <v>2135</v>
      </c>
      <c r="E500" s="298">
        <v>1036.68</v>
      </c>
      <c r="F500" s="299">
        <v>1250</v>
      </c>
      <c r="G500" s="299">
        <v>1500</v>
      </c>
      <c r="H500" s="299">
        <f t="shared" si="3"/>
        <v>1244.0160000000001</v>
      </c>
      <c r="I500" s="299"/>
    </row>
    <row r="501" spans="1:9" hidden="1" x14ac:dyDescent="0.3">
      <c r="A501" s="298" t="s">
        <v>1313</v>
      </c>
      <c r="B501" s="298" t="s">
        <v>293</v>
      </c>
      <c r="C501" s="298" t="s">
        <v>2114</v>
      </c>
      <c r="D501" s="298" t="s">
        <v>2137</v>
      </c>
      <c r="E501" s="298">
        <v>0</v>
      </c>
      <c r="F501" s="299">
        <v>27500</v>
      </c>
      <c r="G501" s="299">
        <v>33000</v>
      </c>
      <c r="H501" s="299">
        <f t="shared" si="3"/>
        <v>0</v>
      </c>
      <c r="I501" s="299"/>
    </row>
    <row r="502" spans="1:9" hidden="1" x14ac:dyDescent="0.3">
      <c r="A502" s="298" t="s">
        <v>1315</v>
      </c>
      <c r="B502" s="298" t="s">
        <v>293</v>
      </c>
      <c r="C502" s="298" t="s">
        <v>2114</v>
      </c>
      <c r="D502" s="298" t="s">
        <v>2139</v>
      </c>
      <c r="E502" s="298">
        <v>834.54</v>
      </c>
      <c r="F502" s="299">
        <v>0</v>
      </c>
      <c r="G502" s="299">
        <v>0</v>
      </c>
      <c r="H502" s="299">
        <f t="shared" si="3"/>
        <v>1001.4479999999999</v>
      </c>
      <c r="I502" s="299"/>
    </row>
    <row r="503" spans="1:9" hidden="1" x14ac:dyDescent="0.3">
      <c r="A503" s="298" t="s">
        <v>1317</v>
      </c>
      <c r="B503" s="298" t="s">
        <v>293</v>
      </c>
      <c r="C503" s="298" t="s">
        <v>2114</v>
      </c>
      <c r="D503" s="298" t="s">
        <v>2141</v>
      </c>
      <c r="E503" s="298">
        <v>675.32</v>
      </c>
      <c r="F503" s="299">
        <v>0</v>
      </c>
      <c r="G503" s="299">
        <v>0</v>
      </c>
      <c r="H503" s="299">
        <f t="shared" si="3"/>
        <v>810.38400000000013</v>
      </c>
      <c r="I503" s="299"/>
    </row>
    <row r="504" spans="1:9" hidden="1" x14ac:dyDescent="0.3">
      <c r="A504" s="298" t="s">
        <v>1319</v>
      </c>
      <c r="B504" s="298" t="s">
        <v>293</v>
      </c>
      <c r="C504" s="298" t="s">
        <v>2114</v>
      </c>
      <c r="D504" s="298" t="s">
        <v>2143</v>
      </c>
      <c r="E504" s="298">
        <v>725.86</v>
      </c>
      <c r="F504" s="299">
        <v>0</v>
      </c>
      <c r="G504" s="299">
        <v>0</v>
      </c>
      <c r="H504" s="299">
        <f t="shared" si="3"/>
        <v>871.03199999999993</v>
      </c>
      <c r="I504" s="299"/>
    </row>
    <row r="505" spans="1:9" hidden="1" x14ac:dyDescent="0.3">
      <c r="A505" s="298" t="s">
        <v>1321</v>
      </c>
      <c r="B505" s="298" t="s">
        <v>293</v>
      </c>
      <c r="C505" s="298" t="s">
        <v>2114</v>
      </c>
      <c r="D505" s="298" t="s">
        <v>2145</v>
      </c>
      <c r="E505" s="298">
        <v>728.62</v>
      </c>
      <c r="F505" s="299">
        <v>0</v>
      </c>
      <c r="G505" s="299">
        <v>0</v>
      </c>
      <c r="H505" s="299">
        <f t="shared" si="3"/>
        <v>874.34399999999994</v>
      </c>
      <c r="I505" s="299"/>
    </row>
    <row r="506" spans="1:9" hidden="1" x14ac:dyDescent="0.3">
      <c r="A506" s="298" t="s">
        <v>1323</v>
      </c>
      <c r="B506" s="298" t="s">
        <v>490</v>
      </c>
      <c r="C506" s="298" t="s">
        <v>1376</v>
      </c>
      <c r="D506" s="298" t="s">
        <v>1381</v>
      </c>
      <c r="E506" s="298">
        <v>13070.19</v>
      </c>
      <c r="F506" s="299">
        <v>12500</v>
      </c>
      <c r="G506" s="299">
        <v>15000</v>
      </c>
      <c r="H506" s="299">
        <f t="shared" si="3"/>
        <v>15684.227999999999</v>
      </c>
      <c r="I506" s="299"/>
    </row>
    <row r="507" spans="1:9" hidden="1" x14ac:dyDescent="0.3">
      <c r="A507" s="298" t="s">
        <v>1326</v>
      </c>
      <c r="B507" s="298" t="s">
        <v>293</v>
      </c>
      <c r="C507" s="298" t="s">
        <v>2114</v>
      </c>
      <c r="D507" s="298" t="s">
        <v>2147</v>
      </c>
      <c r="E507" s="298">
        <v>734.72</v>
      </c>
      <c r="F507" s="299">
        <v>0</v>
      </c>
      <c r="G507" s="299">
        <v>0</v>
      </c>
      <c r="H507" s="299">
        <f t="shared" si="3"/>
        <v>881.6640000000001</v>
      </c>
      <c r="I507" s="299"/>
    </row>
    <row r="508" spans="1:9" hidden="1" x14ac:dyDescent="0.3">
      <c r="A508" s="298" t="s">
        <v>1328</v>
      </c>
      <c r="B508" s="298" t="s">
        <v>293</v>
      </c>
      <c r="C508" s="298" t="s">
        <v>2114</v>
      </c>
      <c r="D508" s="298" t="s">
        <v>2149</v>
      </c>
      <c r="E508" s="298">
        <v>856.41</v>
      </c>
      <c r="F508" s="299">
        <v>0</v>
      </c>
      <c r="G508" s="299">
        <v>0</v>
      </c>
      <c r="H508" s="299">
        <f t="shared" si="3"/>
        <v>1027.692</v>
      </c>
      <c r="I508" s="299"/>
    </row>
    <row r="509" spans="1:9" hidden="1" x14ac:dyDescent="0.3">
      <c r="A509" s="298" t="s">
        <v>1330</v>
      </c>
      <c r="B509" s="298" t="s">
        <v>293</v>
      </c>
      <c r="C509" s="298" t="s">
        <v>2114</v>
      </c>
      <c r="D509" s="298" t="s">
        <v>2151</v>
      </c>
      <c r="E509" s="298">
        <v>953.94</v>
      </c>
      <c r="F509" s="299">
        <v>0</v>
      </c>
      <c r="G509" s="299">
        <v>0</v>
      </c>
      <c r="H509" s="299">
        <f t="shared" si="3"/>
        <v>1144.7280000000001</v>
      </c>
      <c r="I509" s="299"/>
    </row>
    <row r="510" spans="1:9" hidden="1" x14ac:dyDescent="0.3">
      <c r="A510" s="298" t="s">
        <v>1332</v>
      </c>
      <c r="B510" s="298" t="s">
        <v>293</v>
      </c>
      <c r="C510" s="298" t="s">
        <v>2114</v>
      </c>
      <c r="D510" s="298" t="s">
        <v>2153</v>
      </c>
      <c r="E510" s="298">
        <v>934.26</v>
      </c>
      <c r="F510" s="299">
        <v>0</v>
      </c>
      <c r="G510" s="299">
        <v>0</v>
      </c>
      <c r="H510" s="299">
        <f t="shared" si="3"/>
        <v>1121.1120000000001</v>
      </c>
      <c r="I510" s="299"/>
    </row>
    <row r="511" spans="1:9" hidden="1" x14ac:dyDescent="0.3">
      <c r="A511" s="298" t="s">
        <v>1334</v>
      </c>
      <c r="B511" s="298" t="s">
        <v>293</v>
      </c>
      <c r="C511" s="298" t="s">
        <v>2114</v>
      </c>
      <c r="D511" s="298" t="s">
        <v>2155</v>
      </c>
      <c r="E511" s="298">
        <v>760.66</v>
      </c>
      <c r="F511" s="299">
        <v>0</v>
      </c>
      <c r="G511" s="299">
        <v>0</v>
      </c>
      <c r="H511" s="299">
        <f t="shared" si="3"/>
        <v>912.79200000000003</v>
      </c>
      <c r="I511" s="299"/>
    </row>
    <row r="512" spans="1:9" hidden="1" x14ac:dyDescent="0.3">
      <c r="A512" s="298" t="s">
        <v>1336</v>
      </c>
      <c r="B512" s="298" t="s">
        <v>293</v>
      </c>
      <c r="C512" s="298" t="s">
        <v>2114</v>
      </c>
      <c r="D512" s="298" t="s">
        <v>2157</v>
      </c>
      <c r="E512" s="298">
        <v>828.6</v>
      </c>
      <c r="F512" s="299">
        <v>0</v>
      </c>
      <c r="G512" s="299">
        <v>0</v>
      </c>
      <c r="H512" s="299">
        <f t="shared" si="3"/>
        <v>994.31999999999994</v>
      </c>
      <c r="I512" s="299"/>
    </row>
    <row r="513" spans="1:9" hidden="1" x14ac:dyDescent="0.3">
      <c r="A513" s="298" t="s">
        <v>1338</v>
      </c>
      <c r="B513" s="298" t="s">
        <v>293</v>
      </c>
      <c r="C513" s="298" t="s">
        <v>2114</v>
      </c>
      <c r="D513" s="298" t="s">
        <v>2159</v>
      </c>
      <c r="E513" s="298">
        <v>863.95</v>
      </c>
      <c r="F513" s="299">
        <v>0</v>
      </c>
      <c r="G513" s="299">
        <v>0</v>
      </c>
      <c r="H513" s="299">
        <f t="shared" si="3"/>
        <v>1036.7400000000002</v>
      </c>
      <c r="I513" s="299"/>
    </row>
    <row r="514" spans="1:9" hidden="1" x14ac:dyDescent="0.3">
      <c r="A514" s="298" t="s">
        <v>1340</v>
      </c>
      <c r="B514" s="298" t="s">
        <v>293</v>
      </c>
      <c r="C514" s="298" t="s">
        <v>2114</v>
      </c>
      <c r="D514" s="298" t="s">
        <v>2161</v>
      </c>
      <c r="E514" s="298">
        <v>763.69</v>
      </c>
      <c r="F514" s="299">
        <v>0</v>
      </c>
      <c r="G514" s="299">
        <v>0</v>
      </c>
      <c r="H514" s="299">
        <f t="shared" si="3"/>
        <v>916.428</v>
      </c>
      <c r="I514" s="299"/>
    </row>
    <row r="515" spans="1:9" hidden="1" x14ac:dyDescent="0.3">
      <c r="A515" s="298" t="s">
        <v>1342</v>
      </c>
      <c r="B515" s="298" t="s">
        <v>293</v>
      </c>
      <c r="C515" s="298" t="s">
        <v>2114</v>
      </c>
      <c r="D515" s="298" t="s">
        <v>2163</v>
      </c>
      <c r="E515" s="298">
        <v>766.42</v>
      </c>
      <c r="F515" s="299">
        <v>0</v>
      </c>
      <c r="G515" s="299">
        <v>0</v>
      </c>
      <c r="H515" s="299">
        <f t="shared" si="3"/>
        <v>919.70399999999995</v>
      </c>
      <c r="I515" s="299"/>
    </row>
    <row r="516" spans="1:9" hidden="1" x14ac:dyDescent="0.3">
      <c r="A516" s="298" t="s">
        <v>1344</v>
      </c>
      <c r="B516" s="298" t="s">
        <v>293</v>
      </c>
      <c r="C516" s="298" t="s">
        <v>2114</v>
      </c>
      <c r="D516" s="298" t="s">
        <v>2165</v>
      </c>
      <c r="E516" s="298">
        <v>650.53</v>
      </c>
      <c r="F516" s="299">
        <v>0</v>
      </c>
      <c r="G516" s="299">
        <v>0</v>
      </c>
      <c r="H516" s="299">
        <f t="shared" si="3"/>
        <v>780.63599999999997</v>
      </c>
      <c r="I516" s="299"/>
    </row>
    <row r="517" spans="1:9" hidden="1" x14ac:dyDescent="0.3">
      <c r="A517" s="298" t="s">
        <v>1346</v>
      </c>
      <c r="B517" s="298" t="s">
        <v>293</v>
      </c>
      <c r="C517" s="298" t="s">
        <v>2114</v>
      </c>
      <c r="D517" s="298" t="s">
        <v>2167</v>
      </c>
      <c r="E517" s="298">
        <v>694.54</v>
      </c>
      <c r="F517" s="299">
        <v>0</v>
      </c>
      <c r="G517" s="299">
        <v>0</v>
      </c>
      <c r="H517" s="299">
        <f t="shared" si="3"/>
        <v>833.44799999999987</v>
      </c>
      <c r="I517" s="299"/>
    </row>
    <row r="518" spans="1:9" hidden="1" x14ac:dyDescent="0.3">
      <c r="A518" s="298" t="s">
        <v>1348</v>
      </c>
      <c r="B518" s="298" t="s">
        <v>293</v>
      </c>
      <c r="C518" s="298" t="s">
        <v>2114</v>
      </c>
      <c r="D518" s="298" t="s">
        <v>2169</v>
      </c>
      <c r="E518" s="298">
        <v>655.21</v>
      </c>
      <c r="F518" s="299">
        <v>0</v>
      </c>
      <c r="G518" s="299">
        <v>0</v>
      </c>
      <c r="H518" s="299">
        <f t="shared" si="3"/>
        <v>786.25199999999995</v>
      </c>
      <c r="I518" s="299"/>
    </row>
    <row r="519" spans="1:9" hidden="1" x14ac:dyDescent="0.3">
      <c r="A519" s="298" t="s">
        <v>1350</v>
      </c>
      <c r="B519" s="298" t="s">
        <v>293</v>
      </c>
      <c r="C519" s="298" t="s">
        <v>2114</v>
      </c>
      <c r="D519" s="298" t="s">
        <v>2171</v>
      </c>
      <c r="E519" s="298">
        <v>1017.73</v>
      </c>
      <c r="F519" s="299">
        <v>0</v>
      </c>
      <c r="G519" s="299">
        <v>0</v>
      </c>
      <c r="H519" s="299">
        <f t="shared" si="3"/>
        <v>1221.2759999999998</v>
      </c>
      <c r="I519" s="299"/>
    </row>
    <row r="520" spans="1:9" hidden="1" x14ac:dyDescent="0.3">
      <c r="A520" s="298" t="s">
        <v>1352</v>
      </c>
      <c r="B520" s="298" t="s">
        <v>293</v>
      </c>
      <c r="C520" s="298" t="s">
        <v>2114</v>
      </c>
      <c r="D520" s="298" t="s">
        <v>2173</v>
      </c>
      <c r="E520" s="298">
        <v>909.53</v>
      </c>
      <c r="F520" s="299">
        <v>0</v>
      </c>
      <c r="G520" s="299">
        <v>0</v>
      </c>
      <c r="H520" s="299">
        <f t="shared" si="3"/>
        <v>1091.4360000000001</v>
      </c>
      <c r="I520" s="299"/>
    </row>
    <row r="521" spans="1:9" hidden="1" x14ac:dyDescent="0.3">
      <c r="A521" s="298" t="s">
        <v>1354</v>
      </c>
      <c r="B521" s="298" t="s">
        <v>293</v>
      </c>
      <c r="C521" s="298" t="s">
        <v>2114</v>
      </c>
      <c r="D521" s="298" t="s">
        <v>2175</v>
      </c>
      <c r="E521" s="298">
        <v>809.73</v>
      </c>
      <c r="F521" s="299">
        <v>0</v>
      </c>
      <c r="G521" s="299">
        <v>0</v>
      </c>
      <c r="H521" s="299">
        <f t="shared" si="3"/>
        <v>971.67599999999993</v>
      </c>
      <c r="I521" s="299"/>
    </row>
    <row r="522" spans="1:9" hidden="1" x14ac:dyDescent="0.3">
      <c r="A522" s="298" t="s">
        <v>1356</v>
      </c>
      <c r="B522" s="298" t="s">
        <v>293</v>
      </c>
      <c r="C522" s="298" t="s">
        <v>2114</v>
      </c>
      <c r="D522" s="298" t="s">
        <v>2177</v>
      </c>
      <c r="E522" s="298">
        <v>710.15</v>
      </c>
      <c r="F522" s="299">
        <v>0</v>
      </c>
      <c r="G522" s="299">
        <v>0</v>
      </c>
      <c r="H522" s="299">
        <f t="shared" si="3"/>
        <v>852.18000000000006</v>
      </c>
      <c r="I522" s="299"/>
    </row>
    <row r="523" spans="1:9" hidden="1" x14ac:dyDescent="0.3">
      <c r="A523" s="298" t="s">
        <v>1358</v>
      </c>
      <c r="B523" s="298" t="s">
        <v>293</v>
      </c>
      <c r="C523" s="298" t="s">
        <v>2114</v>
      </c>
      <c r="D523" s="298" t="s">
        <v>2179</v>
      </c>
      <c r="E523" s="298">
        <v>502.88</v>
      </c>
      <c r="F523" s="299">
        <v>0</v>
      </c>
      <c r="G523" s="299">
        <v>0</v>
      </c>
      <c r="H523" s="299">
        <f t="shared" si="3"/>
        <v>603.4559999999999</v>
      </c>
      <c r="I523" s="299"/>
    </row>
    <row r="524" spans="1:9" hidden="1" x14ac:dyDescent="0.3">
      <c r="A524" s="298" t="s">
        <v>1360</v>
      </c>
      <c r="B524" s="298" t="s">
        <v>293</v>
      </c>
      <c r="C524" s="298" t="s">
        <v>2114</v>
      </c>
      <c r="D524" s="298" t="s">
        <v>2181</v>
      </c>
      <c r="E524" s="298">
        <v>696.34</v>
      </c>
      <c r="F524" s="299">
        <v>0</v>
      </c>
      <c r="G524" s="299">
        <v>0</v>
      </c>
      <c r="H524" s="299">
        <f t="shared" si="3"/>
        <v>835.60799999999995</v>
      </c>
      <c r="I524" s="299"/>
    </row>
    <row r="525" spans="1:9" hidden="1" x14ac:dyDescent="0.3">
      <c r="A525" s="298" t="s">
        <v>1362</v>
      </c>
      <c r="B525" s="298" t="s">
        <v>293</v>
      </c>
      <c r="C525" s="298" t="s">
        <v>2114</v>
      </c>
      <c r="D525" s="298" t="s">
        <v>2183</v>
      </c>
      <c r="E525" s="298">
        <v>680.9</v>
      </c>
      <c r="F525" s="299">
        <v>0</v>
      </c>
      <c r="G525" s="299">
        <v>0</v>
      </c>
      <c r="H525" s="299">
        <f t="shared" si="3"/>
        <v>817.08</v>
      </c>
      <c r="I525" s="299"/>
    </row>
    <row r="526" spans="1:9" hidden="1" x14ac:dyDescent="0.3">
      <c r="A526" s="298" t="s">
        <v>1364</v>
      </c>
      <c r="B526" s="298" t="s">
        <v>293</v>
      </c>
      <c r="C526" s="298" t="s">
        <v>2114</v>
      </c>
      <c r="D526" s="298" t="s">
        <v>2185</v>
      </c>
      <c r="E526" s="298">
        <v>714.11</v>
      </c>
      <c r="F526" s="299">
        <v>0</v>
      </c>
      <c r="G526" s="299">
        <v>0</v>
      </c>
      <c r="H526" s="299">
        <f t="shared" si="3"/>
        <v>856.93200000000002</v>
      </c>
      <c r="I526" s="299"/>
    </row>
    <row r="527" spans="1:9" hidden="1" x14ac:dyDescent="0.3">
      <c r="A527" s="298" t="s">
        <v>1366</v>
      </c>
      <c r="B527" s="298" t="s">
        <v>293</v>
      </c>
      <c r="C527" s="298" t="s">
        <v>2114</v>
      </c>
      <c r="D527" s="298" t="s">
        <v>2187</v>
      </c>
      <c r="E527" s="298">
        <v>824.02</v>
      </c>
      <c r="F527" s="299">
        <v>0</v>
      </c>
      <c r="G527" s="299">
        <v>0</v>
      </c>
      <c r="H527" s="299">
        <f t="shared" si="3"/>
        <v>988.82400000000007</v>
      </c>
      <c r="I527" s="299"/>
    </row>
    <row r="528" spans="1:9" hidden="1" x14ac:dyDescent="0.3">
      <c r="A528" s="298" t="s">
        <v>1368</v>
      </c>
      <c r="B528" s="298" t="s">
        <v>293</v>
      </c>
      <c r="C528" s="298" t="s">
        <v>2114</v>
      </c>
      <c r="D528" s="298" t="s">
        <v>2189</v>
      </c>
      <c r="E528" s="298">
        <v>835.66</v>
      </c>
      <c r="F528" s="299">
        <v>0</v>
      </c>
      <c r="G528" s="299">
        <v>0</v>
      </c>
      <c r="H528" s="299">
        <f t="shared" si="3"/>
        <v>1002.792</v>
      </c>
      <c r="I528" s="299"/>
    </row>
    <row r="529" spans="1:9" hidden="1" x14ac:dyDescent="0.3">
      <c r="A529" s="298" t="s">
        <v>1370</v>
      </c>
      <c r="B529" s="298" t="s">
        <v>293</v>
      </c>
      <c r="C529" s="298" t="s">
        <v>2114</v>
      </c>
      <c r="D529" s="298" t="s">
        <v>2191</v>
      </c>
      <c r="E529" s="298">
        <v>790.16</v>
      </c>
      <c r="F529" s="299">
        <v>0</v>
      </c>
      <c r="G529" s="299">
        <v>0</v>
      </c>
      <c r="H529" s="299">
        <f t="shared" si="3"/>
        <v>948.19199999999989</v>
      </c>
      <c r="I529" s="299"/>
    </row>
    <row r="530" spans="1:9" hidden="1" x14ac:dyDescent="0.3">
      <c r="A530" s="298" t="s">
        <v>1372</v>
      </c>
      <c r="B530" s="298" t="s">
        <v>293</v>
      </c>
      <c r="C530" s="298" t="s">
        <v>2114</v>
      </c>
      <c r="D530" s="298" t="s">
        <v>2193</v>
      </c>
      <c r="E530" s="298">
        <v>1796.39</v>
      </c>
      <c r="F530" s="299">
        <v>0</v>
      </c>
      <c r="G530" s="299">
        <v>0</v>
      </c>
      <c r="H530" s="299">
        <f t="shared" si="3"/>
        <v>2155.6680000000001</v>
      </c>
      <c r="I530" s="299"/>
    </row>
    <row r="531" spans="1:9" hidden="1" x14ac:dyDescent="0.3">
      <c r="A531" s="298" t="s">
        <v>1375</v>
      </c>
      <c r="B531" s="298" t="s">
        <v>280</v>
      </c>
      <c r="C531" s="298" t="s">
        <v>2114</v>
      </c>
      <c r="D531" s="298" t="s">
        <v>2195</v>
      </c>
      <c r="E531" s="298">
        <v>635.02</v>
      </c>
      <c r="F531" s="299">
        <v>1000</v>
      </c>
      <c r="G531" s="299">
        <v>1200</v>
      </c>
      <c r="H531" s="299">
        <f t="shared" si="3"/>
        <v>762.02399999999989</v>
      </c>
      <c r="I531" s="299"/>
    </row>
    <row r="532" spans="1:9" hidden="1" x14ac:dyDescent="0.3">
      <c r="A532" s="298" t="s">
        <v>1378</v>
      </c>
      <c r="B532" s="298" t="s">
        <v>280</v>
      </c>
      <c r="C532" s="298" t="s">
        <v>2114</v>
      </c>
      <c r="D532" s="298" t="s">
        <v>2197</v>
      </c>
      <c r="E532" s="298">
        <v>-569.5</v>
      </c>
      <c r="F532" s="299">
        <v>0</v>
      </c>
      <c r="G532" s="299">
        <v>0</v>
      </c>
      <c r="H532" s="299">
        <f t="shared" si="3"/>
        <v>-683.40000000000009</v>
      </c>
      <c r="I532" s="299"/>
    </row>
    <row r="533" spans="1:9" hidden="1" x14ac:dyDescent="0.3">
      <c r="A533" s="298" t="s">
        <v>1380</v>
      </c>
      <c r="B533" s="298" t="s">
        <v>260</v>
      </c>
      <c r="C533" s="298" t="s">
        <v>2025</v>
      </c>
      <c r="D533" s="298" t="s">
        <v>2026</v>
      </c>
      <c r="E533" s="298">
        <v>1485.8</v>
      </c>
      <c r="F533" s="299">
        <v>0</v>
      </c>
      <c r="G533" s="299">
        <v>0</v>
      </c>
      <c r="H533" s="299">
        <f t="shared" si="3"/>
        <v>1782.9599999999998</v>
      </c>
      <c r="I533" s="299"/>
    </row>
    <row r="534" spans="1:9" hidden="1" x14ac:dyDescent="0.3">
      <c r="A534" s="298" t="s">
        <v>1382</v>
      </c>
      <c r="B534" s="298" t="s">
        <v>263</v>
      </c>
      <c r="C534" s="298" t="s">
        <v>2025</v>
      </c>
      <c r="D534" s="298" t="s">
        <v>2028</v>
      </c>
      <c r="E534" s="298">
        <v>39028.720000000001</v>
      </c>
      <c r="F534" s="299">
        <v>0</v>
      </c>
      <c r="G534" s="299">
        <v>0</v>
      </c>
      <c r="H534" s="299">
        <f t="shared" si="3"/>
        <v>46834.464000000007</v>
      </c>
      <c r="I534" s="299"/>
    </row>
    <row r="535" spans="1:9" hidden="1" x14ac:dyDescent="0.3">
      <c r="A535" s="298" t="s">
        <v>1384</v>
      </c>
      <c r="B535" s="298" t="s">
        <v>293</v>
      </c>
      <c r="C535" s="298" t="s">
        <v>2025</v>
      </c>
      <c r="D535" s="298" t="s">
        <v>2070</v>
      </c>
      <c r="E535" s="298">
        <v>1273.94</v>
      </c>
      <c r="F535" s="299">
        <v>0</v>
      </c>
      <c r="G535" s="299">
        <v>0</v>
      </c>
      <c r="H535" s="299">
        <f t="shared" si="3"/>
        <v>1528.7280000000001</v>
      </c>
      <c r="I535" s="299"/>
    </row>
    <row r="536" spans="1:9" hidden="1" x14ac:dyDescent="0.3">
      <c r="A536" s="298" t="s">
        <v>1386</v>
      </c>
      <c r="B536" s="298" t="s">
        <v>293</v>
      </c>
      <c r="C536" s="298" t="s">
        <v>2025</v>
      </c>
      <c r="D536" s="298" t="s">
        <v>2072</v>
      </c>
      <c r="E536" s="298">
        <v>1036.8699999999999</v>
      </c>
      <c r="F536" s="299">
        <v>0</v>
      </c>
      <c r="G536" s="299">
        <v>0</v>
      </c>
      <c r="H536" s="299">
        <f t="shared" si="3"/>
        <v>1244.2439999999997</v>
      </c>
      <c r="I536" s="299"/>
    </row>
    <row r="537" spans="1:9" hidden="1" x14ac:dyDescent="0.3">
      <c r="A537" s="298" t="s">
        <v>1388</v>
      </c>
      <c r="B537" s="298" t="s">
        <v>293</v>
      </c>
      <c r="C537" s="298" t="s">
        <v>2361</v>
      </c>
      <c r="D537" s="298" t="s">
        <v>2388</v>
      </c>
      <c r="E537" s="298">
        <v>334.05</v>
      </c>
      <c r="F537" s="299">
        <v>0</v>
      </c>
      <c r="G537" s="299">
        <v>15000</v>
      </c>
      <c r="H537" s="299">
        <f t="shared" si="3"/>
        <v>400.86</v>
      </c>
      <c r="I537" s="299"/>
    </row>
    <row r="538" spans="1:9" hidden="1" x14ac:dyDescent="0.3">
      <c r="A538" s="298" t="s">
        <v>1390</v>
      </c>
      <c r="B538" s="298" t="s">
        <v>293</v>
      </c>
      <c r="C538" s="298" t="s">
        <v>2361</v>
      </c>
      <c r="D538" s="298" t="s">
        <v>2390</v>
      </c>
      <c r="E538" s="298">
        <v>394.04</v>
      </c>
      <c r="F538" s="299">
        <v>0</v>
      </c>
      <c r="G538" s="299">
        <v>0</v>
      </c>
      <c r="H538" s="299">
        <f t="shared" si="3"/>
        <v>472.84800000000007</v>
      </c>
      <c r="I538" s="299"/>
    </row>
    <row r="539" spans="1:9" hidden="1" x14ac:dyDescent="0.3">
      <c r="A539" s="298" t="s">
        <v>1392</v>
      </c>
      <c r="B539" s="298" t="s">
        <v>293</v>
      </c>
      <c r="C539" s="298" t="s">
        <v>2025</v>
      </c>
      <c r="D539" s="298" t="s">
        <v>2074</v>
      </c>
      <c r="E539" s="298">
        <v>1796.62</v>
      </c>
      <c r="F539" s="299">
        <v>0</v>
      </c>
      <c r="G539" s="299">
        <v>0</v>
      </c>
      <c r="H539" s="299">
        <f t="shared" si="3"/>
        <v>2155.9439999999995</v>
      </c>
      <c r="I539" s="299"/>
    </row>
    <row r="540" spans="1:9" hidden="1" x14ac:dyDescent="0.3">
      <c r="A540" s="298" t="s">
        <v>1395</v>
      </c>
      <c r="B540" s="298" t="s">
        <v>293</v>
      </c>
      <c r="C540" s="298" t="s">
        <v>2025</v>
      </c>
      <c r="D540" s="298" t="s">
        <v>2076</v>
      </c>
      <c r="E540" s="298">
        <v>645.05999999999995</v>
      </c>
      <c r="F540" s="299">
        <v>0</v>
      </c>
      <c r="G540" s="299">
        <v>0</v>
      </c>
      <c r="H540" s="299">
        <f t="shared" si="3"/>
        <v>774.072</v>
      </c>
      <c r="I540" s="299"/>
    </row>
    <row r="541" spans="1:9" hidden="1" x14ac:dyDescent="0.3">
      <c r="A541" s="298" t="s">
        <v>1397</v>
      </c>
      <c r="B541" s="298" t="s">
        <v>293</v>
      </c>
      <c r="C541" s="298" t="s">
        <v>2025</v>
      </c>
      <c r="D541" s="298" t="s">
        <v>2078</v>
      </c>
      <c r="E541" s="298">
        <v>1154.98</v>
      </c>
      <c r="F541" s="299">
        <v>0</v>
      </c>
      <c r="G541" s="299">
        <v>0</v>
      </c>
      <c r="H541" s="299">
        <f t="shared" si="3"/>
        <v>1385.9760000000001</v>
      </c>
      <c r="I541" s="299"/>
    </row>
    <row r="542" spans="1:9" hidden="1" x14ac:dyDescent="0.3">
      <c r="A542" s="298" t="s">
        <v>1399</v>
      </c>
      <c r="B542" s="298" t="s">
        <v>263</v>
      </c>
      <c r="C542" s="298" t="s">
        <v>2025</v>
      </c>
      <c r="D542" s="298" t="s">
        <v>2030</v>
      </c>
      <c r="E542" s="298">
        <v>1754.92</v>
      </c>
      <c r="F542" s="299">
        <v>0</v>
      </c>
      <c r="G542" s="299">
        <v>0</v>
      </c>
      <c r="H542" s="299">
        <f t="shared" si="3"/>
        <v>2105.9040000000005</v>
      </c>
      <c r="I542" s="299"/>
    </row>
    <row r="543" spans="1:9" hidden="1" x14ac:dyDescent="0.3">
      <c r="A543" s="298" t="s">
        <v>1401</v>
      </c>
      <c r="B543" s="298" t="s">
        <v>293</v>
      </c>
      <c r="C543" s="298" t="s">
        <v>2025</v>
      </c>
      <c r="D543" s="298" t="s">
        <v>2080</v>
      </c>
      <c r="E543" s="298">
        <v>970.55</v>
      </c>
      <c r="F543" s="299">
        <v>0</v>
      </c>
      <c r="G543" s="299">
        <v>0</v>
      </c>
      <c r="H543" s="299">
        <f t="shared" si="3"/>
        <v>1164.6599999999999</v>
      </c>
      <c r="I543" s="299"/>
    </row>
    <row r="544" spans="1:9" hidden="1" x14ac:dyDescent="0.3">
      <c r="A544" s="298" t="s">
        <v>1403</v>
      </c>
      <c r="B544" s="298" t="s">
        <v>293</v>
      </c>
      <c r="C544" s="298" t="s">
        <v>2025</v>
      </c>
      <c r="D544" s="298" t="s">
        <v>2082</v>
      </c>
      <c r="E544" s="298">
        <v>963.08</v>
      </c>
      <c r="F544" s="299">
        <v>0</v>
      </c>
      <c r="G544" s="299">
        <v>0</v>
      </c>
      <c r="H544" s="299">
        <f t="shared" si="3"/>
        <v>1155.6960000000001</v>
      </c>
      <c r="I544" s="299"/>
    </row>
    <row r="545" spans="1:9" hidden="1" x14ac:dyDescent="0.3">
      <c r="A545" s="298" t="s">
        <v>1405</v>
      </c>
      <c r="B545" s="298" t="s">
        <v>490</v>
      </c>
      <c r="C545" s="298" t="s">
        <v>1373</v>
      </c>
      <c r="D545" s="298" t="s">
        <v>1374</v>
      </c>
      <c r="E545" s="298">
        <v>11626.23</v>
      </c>
      <c r="F545" s="299">
        <v>12500</v>
      </c>
      <c r="G545" s="299">
        <v>15000</v>
      </c>
      <c r="H545" s="299">
        <f t="shared" si="3"/>
        <v>13951.476000000001</v>
      </c>
      <c r="I545" s="299"/>
    </row>
    <row r="546" spans="1:9" hidden="1" x14ac:dyDescent="0.3">
      <c r="A546" s="298" t="s">
        <v>1407</v>
      </c>
      <c r="B546" s="298" t="s">
        <v>293</v>
      </c>
      <c r="C546" s="298" t="s">
        <v>2025</v>
      </c>
      <c r="D546" s="298" t="s">
        <v>2084</v>
      </c>
      <c r="E546" s="298">
        <v>1195.6600000000001</v>
      </c>
      <c r="F546" s="299">
        <v>0</v>
      </c>
      <c r="G546" s="299">
        <v>0</v>
      </c>
      <c r="H546" s="299">
        <f t="shared" ref="H546:H609" si="4">+E546/10*12</f>
        <v>1434.7919999999999</v>
      </c>
      <c r="I546" s="299"/>
    </row>
    <row r="547" spans="1:9" hidden="1" x14ac:dyDescent="0.3">
      <c r="A547" s="298" t="s">
        <v>1409</v>
      </c>
      <c r="B547" s="298" t="s">
        <v>293</v>
      </c>
      <c r="C547" s="298" t="s">
        <v>2025</v>
      </c>
      <c r="D547" s="298" t="s">
        <v>2086</v>
      </c>
      <c r="E547" s="298">
        <v>967.57</v>
      </c>
      <c r="F547" s="299">
        <v>0</v>
      </c>
      <c r="G547" s="299">
        <v>0</v>
      </c>
      <c r="H547" s="299">
        <f t="shared" si="4"/>
        <v>1161.0840000000001</v>
      </c>
      <c r="I547" s="299"/>
    </row>
    <row r="548" spans="1:9" hidden="1" x14ac:dyDescent="0.3">
      <c r="A548" s="298" t="s">
        <v>1411</v>
      </c>
      <c r="B548" s="298" t="s">
        <v>293</v>
      </c>
      <c r="C548" s="298" t="s">
        <v>2025</v>
      </c>
      <c r="D548" s="298" t="s">
        <v>2088</v>
      </c>
      <c r="E548" s="298">
        <v>1070.73</v>
      </c>
      <c r="F548" s="299">
        <v>0</v>
      </c>
      <c r="G548" s="299">
        <v>0</v>
      </c>
      <c r="H548" s="299">
        <f t="shared" si="4"/>
        <v>1284.8760000000002</v>
      </c>
      <c r="I548" s="299"/>
    </row>
    <row r="549" spans="1:9" hidden="1" x14ac:dyDescent="0.3">
      <c r="A549" s="298" t="s">
        <v>1413</v>
      </c>
      <c r="B549" s="298" t="s">
        <v>293</v>
      </c>
      <c r="C549" s="298" t="s">
        <v>2025</v>
      </c>
      <c r="D549" s="298" t="s">
        <v>2090</v>
      </c>
      <c r="E549" s="298">
        <v>819.03</v>
      </c>
      <c r="F549" s="299">
        <v>0</v>
      </c>
      <c r="G549" s="299">
        <v>0</v>
      </c>
      <c r="H549" s="299">
        <f t="shared" si="4"/>
        <v>982.8359999999999</v>
      </c>
      <c r="I549" s="299"/>
    </row>
    <row r="550" spans="1:9" hidden="1" x14ac:dyDescent="0.3">
      <c r="A550" s="298" t="s">
        <v>1415</v>
      </c>
      <c r="B550" s="298" t="s">
        <v>293</v>
      </c>
      <c r="C550" s="298" t="s">
        <v>2025</v>
      </c>
      <c r="D550" s="298" t="s">
        <v>2092</v>
      </c>
      <c r="E550" s="298">
        <v>1117.01</v>
      </c>
      <c r="F550" s="299">
        <v>0</v>
      </c>
      <c r="G550" s="299">
        <v>0</v>
      </c>
      <c r="H550" s="299">
        <f t="shared" si="4"/>
        <v>1340.4119999999998</v>
      </c>
      <c r="I550" s="299"/>
    </row>
    <row r="551" spans="1:9" hidden="1" x14ac:dyDescent="0.3">
      <c r="A551" s="298" t="s">
        <v>1417</v>
      </c>
      <c r="B551" s="298" t="s">
        <v>293</v>
      </c>
      <c r="C551" s="298" t="s">
        <v>2025</v>
      </c>
      <c r="D551" s="298" t="s">
        <v>2094</v>
      </c>
      <c r="E551" s="298">
        <v>-250</v>
      </c>
      <c r="F551" s="299">
        <v>0</v>
      </c>
      <c r="G551" s="299">
        <v>0</v>
      </c>
      <c r="H551" s="299">
        <f t="shared" si="4"/>
        <v>-300</v>
      </c>
      <c r="I551" s="299"/>
    </row>
    <row r="552" spans="1:9" hidden="1" x14ac:dyDescent="0.3">
      <c r="A552" s="298" t="s">
        <v>1420</v>
      </c>
      <c r="B552" s="298" t="s">
        <v>293</v>
      </c>
      <c r="C552" s="298" t="s">
        <v>2025</v>
      </c>
      <c r="D552" s="298" t="s">
        <v>2096</v>
      </c>
      <c r="E552" s="298">
        <v>1287.54</v>
      </c>
      <c r="F552" s="299">
        <v>0</v>
      </c>
      <c r="G552" s="299">
        <v>0</v>
      </c>
      <c r="H552" s="299">
        <f t="shared" si="4"/>
        <v>1545.0479999999998</v>
      </c>
      <c r="I552" s="299"/>
    </row>
    <row r="553" spans="1:9" hidden="1" x14ac:dyDescent="0.3">
      <c r="A553" s="298" t="s">
        <v>1422</v>
      </c>
      <c r="B553" s="298" t="s">
        <v>293</v>
      </c>
      <c r="C553" s="298" t="s">
        <v>2025</v>
      </c>
      <c r="D553" s="298" t="s">
        <v>2098</v>
      </c>
      <c r="E553" s="298">
        <v>1439.72</v>
      </c>
      <c r="F553" s="299">
        <v>0</v>
      </c>
      <c r="G553" s="299">
        <v>0</v>
      </c>
      <c r="H553" s="299">
        <f t="shared" si="4"/>
        <v>1727.6640000000002</v>
      </c>
      <c r="I553" s="299"/>
    </row>
    <row r="554" spans="1:9" hidden="1" x14ac:dyDescent="0.3">
      <c r="A554" s="298" t="s">
        <v>1425</v>
      </c>
      <c r="B554" s="298" t="s">
        <v>293</v>
      </c>
      <c r="C554" s="298" t="s">
        <v>2025</v>
      </c>
      <c r="D554" s="298" t="s">
        <v>2100</v>
      </c>
      <c r="E554" s="298">
        <v>1016.77</v>
      </c>
      <c r="F554" s="299">
        <v>0</v>
      </c>
      <c r="G554" s="299">
        <v>0</v>
      </c>
      <c r="H554" s="299">
        <f t="shared" si="4"/>
        <v>1220.1239999999998</v>
      </c>
      <c r="I554" s="299"/>
    </row>
    <row r="555" spans="1:9" hidden="1" x14ac:dyDescent="0.3">
      <c r="A555" s="298" t="s">
        <v>1427</v>
      </c>
      <c r="B555" s="298" t="s">
        <v>293</v>
      </c>
      <c r="C555" s="298" t="s">
        <v>2025</v>
      </c>
      <c r="D555" s="298" t="s">
        <v>2102</v>
      </c>
      <c r="E555" s="298">
        <v>1460.03</v>
      </c>
      <c r="F555" s="299">
        <v>0</v>
      </c>
      <c r="G555" s="299">
        <v>0</v>
      </c>
      <c r="H555" s="299">
        <f t="shared" si="4"/>
        <v>1752.0359999999998</v>
      </c>
      <c r="I555" s="299"/>
    </row>
    <row r="556" spans="1:9" hidden="1" x14ac:dyDescent="0.3">
      <c r="A556" s="298" t="s">
        <v>1429</v>
      </c>
      <c r="B556" s="298" t="s">
        <v>293</v>
      </c>
      <c r="C556" s="298" t="s">
        <v>2025</v>
      </c>
      <c r="D556" s="298" t="s">
        <v>2104</v>
      </c>
      <c r="E556" s="298">
        <v>1450.06</v>
      </c>
      <c r="F556" s="299">
        <v>0</v>
      </c>
      <c r="G556" s="299">
        <v>0</v>
      </c>
      <c r="H556" s="299">
        <f t="shared" si="4"/>
        <v>1740.0720000000001</v>
      </c>
      <c r="I556" s="299"/>
    </row>
    <row r="557" spans="1:9" hidden="1" x14ac:dyDescent="0.3">
      <c r="A557" s="298" t="s">
        <v>1432</v>
      </c>
      <c r="B557" s="298" t="s">
        <v>293</v>
      </c>
      <c r="C557" s="298" t="s">
        <v>2025</v>
      </c>
      <c r="D557" s="298" t="s">
        <v>2106</v>
      </c>
      <c r="E557" s="298">
        <v>1172.3599999999999</v>
      </c>
      <c r="F557" s="299">
        <v>0</v>
      </c>
      <c r="G557" s="299">
        <v>0</v>
      </c>
      <c r="H557" s="299">
        <f t="shared" si="4"/>
        <v>1406.8319999999999</v>
      </c>
      <c r="I557" s="299"/>
    </row>
    <row r="558" spans="1:9" hidden="1" x14ac:dyDescent="0.3">
      <c r="A558" s="298" t="s">
        <v>1434</v>
      </c>
      <c r="B558" s="298" t="s">
        <v>293</v>
      </c>
      <c r="C558" s="298" t="s">
        <v>2025</v>
      </c>
      <c r="D558" s="298" t="s">
        <v>2108</v>
      </c>
      <c r="E558" s="298">
        <v>5699.63</v>
      </c>
      <c r="F558" s="299">
        <v>0</v>
      </c>
      <c r="G558" s="299">
        <v>0</v>
      </c>
      <c r="H558" s="299">
        <f t="shared" si="4"/>
        <v>6839.5559999999996</v>
      </c>
      <c r="I558" s="299"/>
    </row>
    <row r="559" spans="1:9" hidden="1" x14ac:dyDescent="0.3">
      <c r="A559" s="298" t="s">
        <v>1436</v>
      </c>
      <c r="B559" s="298" t="s">
        <v>280</v>
      </c>
      <c r="C559" s="298" t="s">
        <v>2025</v>
      </c>
      <c r="D559" s="298" t="s">
        <v>2110</v>
      </c>
      <c r="E559" s="298">
        <v>2838.96</v>
      </c>
      <c r="F559" s="299">
        <v>2000</v>
      </c>
      <c r="G559" s="299">
        <v>2400</v>
      </c>
      <c r="H559" s="299">
        <f t="shared" si="4"/>
        <v>3406.7520000000004</v>
      </c>
      <c r="I559" s="299"/>
    </row>
    <row r="560" spans="1:9" hidden="1" x14ac:dyDescent="0.3">
      <c r="A560" s="298" t="s">
        <v>1439</v>
      </c>
      <c r="B560" s="298" t="s">
        <v>280</v>
      </c>
      <c r="C560" s="298" t="s">
        <v>2025</v>
      </c>
      <c r="D560" s="298" t="s">
        <v>2112</v>
      </c>
      <c r="E560" s="298">
        <v>461.05</v>
      </c>
      <c r="F560" s="299">
        <v>0</v>
      </c>
      <c r="G560" s="299">
        <v>0</v>
      </c>
      <c r="H560" s="299">
        <f t="shared" si="4"/>
        <v>553.26</v>
      </c>
      <c r="I560" s="299"/>
    </row>
    <row r="561" spans="1:9" hidden="1" x14ac:dyDescent="0.3">
      <c r="A561" s="298" t="s">
        <v>1441</v>
      </c>
      <c r="B561" s="298" t="s">
        <v>1423</v>
      </c>
      <c r="C561" s="298" t="s">
        <v>2199</v>
      </c>
      <c r="D561" s="298" t="s">
        <v>2200</v>
      </c>
      <c r="E561" s="298">
        <v>645.01</v>
      </c>
      <c r="F561" s="299">
        <v>1250</v>
      </c>
      <c r="G561" s="299">
        <v>1500</v>
      </c>
      <c r="H561" s="299">
        <f t="shared" si="4"/>
        <v>774.01200000000006</v>
      </c>
      <c r="I561" s="299"/>
    </row>
    <row r="562" spans="1:9" hidden="1" x14ac:dyDescent="0.3">
      <c r="A562" s="298" t="s">
        <v>1443</v>
      </c>
      <c r="B562" s="298" t="s">
        <v>1423</v>
      </c>
      <c r="C562" s="298" t="s">
        <v>2199</v>
      </c>
      <c r="D562" s="298" t="s">
        <v>2202</v>
      </c>
      <c r="E562" s="298">
        <v>6246.57</v>
      </c>
      <c r="F562" s="299">
        <v>4166.7</v>
      </c>
      <c r="G562" s="299">
        <v>5000</v>
      </c>
      <c r="H562" s="299">
        <f t="shared" si="4"/>
        <v>7495.8839999999991</v>
      </c>
      <c r="I562" s="299"/>
    </row>
    <row r="563" spans="1:9" hidden="1" x14ac:dyDescent="0.3">
      <c r="A563" s="298" t="s">
        <v>1445</v>
      </c>
      <c r="B563" s="298" t="s">
        <v>293</v>
      </c>
      <c r="C563" s="298" t="s">
        <v>2199</v>
      </c>
      <c r="D563" s="298" t="s">
        <v>2208</v>
      </c>
      <c r="E563" s="298">
        <v>2047.54</v>
      </c>
      <c r="F563" s="299">
        <v>1666.7</v>
      </c>
      <c r="G563" s="299">
        <v>2000</v>
      </c>
      <c r="H563" s="299">
        <f t="shared" si="4"/>
        <v>2457.0479999999998</v>
      </c>
      <c r="I563" s="299"/>
    </row>
    <row r="564" spans="1:9" hidden="1" x14ac:dyDescent="0.3">
      <c r="A564" s="298" t="s">
        <v>1447</v>
      </c>
      <c r="B564" s="298" t="s">
        <v>293</v>
      </c>
      <c r="C564" s="298" t="s">
        <v>2199</v>
      </c>
      <c r="D564" s="298" t="s">
        <v>2210</v>
      </c>
      <c r="E564" s="298">
        <v>1591.95</v>
      </c>
      <c r="F564" s="299">
        <v>1666.7</v>
      </c>
      <c r="G564" s="299">
        <v>2000</v>
      </c>
      <c r="H564" s="299">
        <f t="shared" si="4"/>
        <v>1910.34</v>
      </c>
      <c r="I564" s="299"/>
    </row>
    <row r="565" spans="1:9" hidden="1" x14ac:dyDescent="0.3">
      <c r="A565" s="298" t="s">
        <v>1449</v>
      </c>
      <c r="B565" s="298" t="s">
        <v>293</v>
      </c>
      <c r="C565" s="298" t="s">
        <v>2199</v>
      </c>
      <c r="D565" s="298" t="s">
        <v>2212</v>
      </c>
      <c r="E565" s="298">
        <v>2430.98</v>
      </c>
      <c r="F565" s="299">
        <v>2083.3000000000002</v>
      </c>
      <c r="G565" s="299">
        <v>2500</v>
      </c>
      <c r="H565" s="299">
        <f t="shared" si="4"/>
        <v>2917.1760000000004</v>
      </c>
      <c r="I565" s="299"/>
    </row>
    <row r="566" spans="1:9" hidden="1" x14ac:dyDescent="0.3">
      <c r="A566" s="298" t="s">
        <v>1451</v>
      </c>
      <c r="B566" s="298" t="s">
        <v>293</v>
      </c>
      <c r="C566" s="298" t="s">
        <v>2199</v>
      </c>
      <c r="D566" s="298" t="s">
        <v>2214</v>
      </c>
      <c r="E566" s="298">
        <v>600.25</v>
      </c>
      <c r="F566" s="299">
        <v>27500</v>
      </c>
      <c r="G566" s="299">
        <v>33000</v>
      </c>
      <c r="H566" s="299">
        <f t="shared" si="4"/>
        <v>720.3</v>
      </c>
      <c r="I566" s="299"/>
    </row>
    <row r="567" spans="1:9" hidden="1" x14ac:dyDescent="0.3">
      <c r="A567" s="298" t="s">
        <v>1453</v>
      </c>
      <c r="B567" s="298" t="s">
        <v>293</v>
      </c>
      <c r="C567" s="298" t="s">
        <v>2199</v>
      </c>
      <c r="D567" s="298" t="s">
        <v>2216</v>
      </c>
      <c r="E567" s="298">
        <v>2078.14</v>
      </c>
      <c r="F567" s="299">
        <v>0</v>
      </c>
      <c r="G567" s="299">
        <v>0</v>
      </c>
      <c r="H567" s="299">
        <f t="shared" si="4"/>
        <v>2493.768</v>
      </c>
      <c r="I567" s="299"/>
    </row>
    <row r="568" spans="1:9" hidden="1" x14ac:dyDescent="0.3">
      <c r="A568" s="298" t="s">
        <v>1455</v>
      </c>
      <c r="B568" s="298" t="s">
        <v>293</v>
      </c>
      <c r="C568" s="298" t="s">
        <v>2199</v>
      </c>
      <c r="D568" s="298" t="s">
        <v>2218</v>
      </c>
      <c r="E568" s="298">
        <v>1041.21</v>
      </c>
      <c r="F568" s="299">
        <v>0</v>
      </c>
      <c r="G568" s="299">
        <v>0</v>
      </c>
      <c r="H568" s="299">
        <f t="shared" si="4"/>
        <v>1249.4520000000002</v>
      </c>
      <c r="I568" s="299"/>
    </row>
    <row r="569" spans="1:9" hidden="1" x14ac:dyDescent="0.3">
      <c r="A569" s="298" t="s">
        <v>1457</v>
      </c>
      <c r="B569" s="298" t="s">
        <v>293</v>
      </c>
      <c r="C569" s="298" t="s">
        <v>2199</v>
      </c>
      <c r="D569" s="298" t="s">
        <v>2220</v>
      </c>
      <c r="E569" s="298">
        <v>1411.81</v>
      </c>
      <c r="F569" s="299">
        <v>0</v>
      </c>
      <c r="G569" s="299">
        <v>0</v>
      </c>
      <c r="H569" s="299">
        <f t="shared" si="4"/>
        <v>1694.1719999999998</v>
      </c>
      <c r="I569" s="299"/>
    </row>
    <row r="570" spans="1:9" hidden="1" x14ac:dyDescent="0.3">
      <c r="A570" s="298" t="s">
        <v>1459</v>
      </c>
      <c r="B570" s="298" t="s">
        <v>293</v>
      </c>
      <c r="C570" s="298" t="s">
        <v>2199</v>
      </c>
      <c r="D570" s="298" t="s">
        <v>2222</v>
      </c>
      <c r="E570" s="298">
        <v>806.92</v>
      </c>
      <c r="F570" s="299">
        <v>0</v>
      </c>
      <c r="G570" s="299">
        <v>0</v>
      </c>
      <c r="H570" s="299">
        <f t="shared" si="4"/>
        <v>968.30399999999986</v>
      </c>
      <c r="I570" s="299"/>
    </row>
    <row r="571" spans="1:9" hidden="1" x14ac:dyDescent="0.3">
      <c r="A571" s="298" t="s">
        <v>1461</v>
      </c>
      <c r="B571" s="298" t="s">
        <v>293</v>
      </c>
      <c r="C571" s="298" t="s">
        <v>2199</v>
      </c>
      <c r="D571" s="298" t="s">
        <v>2224</v>
      </c>
      <c r="E571" s="298">
        <v>832.43</v>
      </c>
      <c r="F571" s="299">
        <v>0</v>
      </c>
      <c r="G571" s="299">
        <v>0</v>
      </c>
      <c r="H571" s="299">
        <f t="shared" si="4"/>
        <v>998.91599999999994</v>
      </c>
      <c r="I571" s="299"/>
    </row>
    <row r="572" spans="1:9" hidden="1" x14ac:dyDescent="0.3">
      <c r="A572" s="298" t="s">
        <v>1463</v>
      </c>
      <c r="B572" s="298" t="s">
        <v>293</v>
      </c>
      <c r="C572" s="298" t="s">
        <v>2199</v>
      </c>
      <c r="D572" s="298" t="s">
        <v>2226</v>
      </c>
      <c r="E572" s="298">
        <v>535.53</v>
      </c>
      <c r="F572" s="299">
        <v>0</v>
      </c>
      <c r="G572" s="299">
        <v>0</v>
      </c>
      <c r="H572" s="299">
        <f t="shared" si="4"/>
        <v>642.63599999999997</v>
      </c>
      <c r="I572" s="299"/>
    </row>
    <row r="573" spans="1:9" hidden="1" x14ac:dyDescent="0.3">
      <c r="A573" s="298" t="s">
        <v>1465</v>
      </c>
      <c r="B573" s="298" t="s">
        <v>293</v>
      </c>
      <c r="C573" s="298" t="s">
        <v>2199</v>
      </c>
      <c r="D573" s="298" t="s">
        <v>2228</v>
      </c>
      <c r="E573" s="298">
        <v>1143.97</v>
      </c>
      <c r="F573" s="299">
        <v>0</v>
      </c>
      <c r="G573" s="299">
        <v>0</v>
      </c>
      <c r="H573" s="299">
        <f t="shared" si="4"/>
        <v>1372.7640000000001</v>
      </c>
      <c r="I573" s="299"/>
    </row>
    <row r="574" spans="1:9" hidden="1" x14ac:dyDescent="0.3">
      <c r="A574" s="298" t="s">
        <v>1466</v>
      </c>
      <c r="B574" s="298" t="s">
        <v>293</v>
      </c>
      <c r="C574" s="298" t="s">
        <v>2199</v>
      </c>
      <c r="D574" s="298" t="s">
        <v>2230</v>
      </c>
      <c r="E574" s="298">
        <v>983.02</v>
      </c>
      <c r="F574" s="299">
        <v>0</v>
      </c>
      <c r="G574" s="299">
        <v>0</v>
      </c>
      <c r="H574" s="299">
        <f t="shared" si="4"/>
        <v>1179.6239999999998</v>
      </c>
      <c r="I574" s="299"/>
    </row>
    <row r="575" spans="1:9" hidden="1" x14ac:dyDescent="0.3">
      <c r="A575" s="298" t="s">
        <v>1467</v>
      </c>
      <c r="B575" s="298" t="s">
        <v>293</v>
      </c>
      <c r="C575" s="298" t="s">
        <v>2199</v>
      </c>
      <c r="D575" s="298" t="s">
        <v>2232</v>
      </c>
      <c r="E575" s="298">
        <v>846.98</v>
      </c>
      <c r="F575" s="299">
        <v>0</v>
      </c>
      <c r="G575" s="299">
        <v>0</v>
      </c>
      <c r="H575" s="299">
        <f t="shared" si="4"/>
        <v>1016.3760000000001</v>
      </c>
      <c r="I575" s="299"/>
    </row>
    <row r="576" spans="1:9" hidden="1" x14ac:dyDescent="0.3">
      <c r="A576" s="298" t="s">
        <v>1469</v>
      </c>
      <c r="B576" s="298" t="s">
        <v>293</v>
      </c>
      <c r="C576" s="298" t="s">
        <v>2199</v>
      </c>
      <c r="D576" s="298" t="s">
        <v>2234</v>
      </c>
      <c r="E576" s="298">
        <v>874.92</v>
      </c>
      <c r="F576" s="299">
        <v>0</v>
      </c>
      <c r="G576" s="299">
        <v>0</v>
      </c>
      <c r="H576" s="299">
        <f t="shared" si="4"/>
        <v>1049.904</v>
      </c>
      <c r="I576" s="299"/>
    </row>
    <row r="577" spans="1:9" hidden="1" x14ac:dyDescent="0.3">
      <c r="A577" s="298" t="s">
        <v>1470</v>
      </c>
      <c r="B577" s="298" t="s">
        <v>280</v>
      </c>
      <c r="C577" s="298" t="s">
        <v>1478</v>
      </c>
      <c r="D577" s="298" t="s">
        <v>1626</v>
      </c>
      <c r="E577" s="298">
        <v>373.85</v>
      </c>
      <c r="F577" s="299">
        <v>1000</v>
      </c>
      <c r="G577" s="299">
        <v>1200</v>
      </c>
      <c r="H577" s="299">
        <f t="shared" si="4"/>
        <v>448.62000000000006</v>
      </c>
      <c r="I577" s="299"/>
    </row>
    <row r="578" spans="1:9" hidden="1" x14ac:dyDescent="0.3">
      <c r="A578" s="298" t="s">
        <v>1473</v>
      </c>
      <c r="B578" s="298" t="s">
        <v>280</v>
      </c>
      <c r="C578" s="298" t="s">
        <v>1478</v>
      </c>
      <c r="D578" s="298" t="s">
        <v>1628</v>
      </c>
      <c r="E578" s="298">
        <v>253.08</v>
      </c>
      <c r="F578" s="299">
        <v>1150</v>
      </c>
      <c r="G578" s="299">
        <v>1380</v>
      </c>
      <c r="H578" s="299">
        <f t="shared" si="4"/>
        <v>303.69600000000003</v>
      </c>
      <c r="I578" s="299"/>
    </row>
    <row r="579" spans="1:9" hidden="1" x14ac:dyDescent="0.3">
      <c r="A579" s="298" t="s">
        <v>1475</v>
      </c>
      <c r="B579" s="298" t="s">
        <v>280</v>
      </c>
      <c r="C579" s="298" t="s">
        <v>1478</v>
      </c>
      <c r="D579" s="298" t="s">
        <v>1630</v>
      </c>
      <c r="E579" s="298">
        <v>432.28</v>
      </c>
      <c r="F579" s="299">
        <v>416.7</v>
      </c>
      <c r="G579" s="299">
        <v>500</v>
      </c>
      <c r="H579" s="299">
        <f t="shared" si="4"/>
        <v>518.73599999999988</v>
      </c>
      <c r="I579" s="299"/>
    </row>
    <row r="580" spans="1:9" hidden="1" x14ac:dyDescent="0.3">
      <c r="A580" s="298" t="s">
        <v>1477</v>
      </c>
      <c r="B580" s="298" t="s">
        <v>280</v>
      </c>
      <c r="C580" s="298" t="s">
        <v>1478</v>
      </c>
      <c r="D580" s="298" t="s">
        <v>1632</v>
      </c>
      <c r="E580" s="298">
        <v>935.23</v>
      </c>
      <c r="F580" s="299">
        <v>1000</v>
      </c>
      <c r="G580" s="299">
        <v>1200</v>
      </c>
      <c r="H580" s="299">
        <f t="shared" si="4"/>
        <v>1122.2759999999998</v>
      </c>
      <c r="I580" s="299"/>
    </row>
    <row r="581" spans="1:9" hidden="1" x14ac:dyDescent="0.3">
      <c r="A581" s="298" t="s">
        <v>1480</v>
      </c>
      <c r="B581" s="298" t="s">
        <v>280</v>
      </c>
      <c r="C581" s="298" t="s">
        <v>1478</v>
      </c>
      <c r="D581" s="298" t="s">
        <v>1634</v>
      </c>
      <c r="E581" s="298">
        <v>979.7</v>
      </c>
      <c r="F581" s="299">
        <v>500</v>
      </c>
      <c r="G581" s="299">
        <v>600</v>
      </c>
      <c r="H581" s="299">
        <f t="shared" si="4"/>
        <v>1175.6399999999999</v>
      </c>
      <c r="I581" s="299"/>
    </row>
    <row r="582" spans="1:9" hidden="1" x14ac:dyDescent="0.3">
      <c r="A582" s="298" t="s">
        <v>1482</v>
      </c>
      <c r="B582" s="298" t="s">
        <v>280</v>
      </c>
      <c r="C582" s="298" t="s">
        <v>1478</v>
      </c>
      <c r="D582" s="298" t="s">
        <v>1636</v>
      </c>
      <c r="E582" s="298">
        <v>485.84</v>
      </c>
      <c r="F582" s="299">
        <v>600</v>
      </c>
      <c r="G582" s="299">
        <v>720</v>
      </c>
      <c r="H582" s="299">
        <f t="shared" si="4"/>
        <v>583.00799999999992</v>
      </c>
      <c r="I582" s="299"/>
    </row>
    <row r="583" spans="1:9" hidden="1" x14ac:dyDescent="0.3">
      <c r="A583" s="298" t="s">
        <v>1484</v>
      </c>
      <c r="B583" s="298" t="s">
        <v>280</v>
      </c>
      <c r="C583" s="298" t="s">
        <v>1478</v>
      </c>
      <c r="D583" s="298" t="s">
        <v>1638</v>
      </c>
      <c r="E583" s="298">
        <v>276.64999999999998</v>
      </c>
      <c r="F583" s="299">
        <v>666.7</v>
      </c>
      <c r="G583" s="299">
        <v>800</v>
      </c>
      <c r="H583" s="299">
        <f t="shared" si="4"/>
        <v>331.98</v>
      </c>
      <c r="I583" s="299"/>
    </row>
    <row r="584" spans="1:9" hidden="1" x14ac:dyDescent="0.3">
      <c r="A584" s="298" t="s">
        <v>1486</v>
      </c>
      <c r="B584" s="298" t="s">
        <v>422</v>
      </c>
      <c r="C584" s="298" t="s">
        <v>1478</v>
      </c>
      <c r="D584" s="298" t="s">
        <v>1789</v>
      </c>
      <c r="E584" s="298">
        <v>1630.35</v>
      </c>
      <c r="F584" s="299">
        <v>8333.2999999999993</v>
      </c>
      <c r="G584" s="299">
        <v>10000</v>
      </c>
      <c r="H584" s="299">
        <f t="shared" si="4"/>
        <v>1956.42</v>
      </c>
      <c r="I584" s="299"/>
    </row>
    <row r="585" spans="1:9" hidden="1" x14ac:dyDescent="0.3">
      <c r="A585" s="298" t="s">
        <v>1488</v>
      </c>
      <c r="B585" s="298" t="s">
        <v>454</v>
      </c>
      <c r="C585" s="298" t="s">
        <v>1478</v>
      </c>
      <c r="D585" s="298" t="s">
        <v>1791</v>
      </c>
      <c r="E585" s="298">
        <v>436.77</v>
      </c>
      <c r="F585" s="299">
        <v>0</v>
      </c>
      <c r="G585" s="299">
        <v>0</v>
      </c>
      <c r="H585" s="299">
        <f t="shared" si="4"/>
        <v>524.12400000000002</v>
      </c>
      <c r="I585" s="299"/>
    </row>
    <row r="586" spans="1:9" hidden="1" x14ac:dyDescent="0.3">
      <c r="A586" s="298" t="s">
        <v>1490</v>
      </c>
      <c r="B586" s="298" t="s">
        <v>457</v>
      </c>
      <c r="C586" s="298" t="s">
        <v>1478</v>
      </c>
      <c r="D586" s="298" t="s">
        <v>1793</v>
      </c>
      <c r="E586" s="298">
        <v>123.09</v>
      </c>
      <c r="F586" s="299">
        <v>2500</v>
      </c>
      <c r="G586" s="299">
        <v>3000</v>
      </c>
      <c r="H586" s="299">
        <f t="shared" si="4"/>
        <v>147.70800000000003</v>
      </c>
      <c r="I586" s="299"/>
    </row>
    <row r="587" spans="1:9" hidden="1" x14ac:dyDescent="0.3">
      <c r="A587" s="298" t="s">
        <v>1492</v>
      </c>
      <c r="B587" s="298" t="s">
        <v>293</v>
      </c>
      <c r="C587" s="298" t="s">
        <v>2199</v>
      </c>
      <c r="D587" s="298" t="s">
        <v>2236</v>
      </c>
      <c r="E587" s="298">
        <v>677.6</v>
      </c>
      <c r="F587" s="299">
        <v>0</v>
      </c>
      <c r="G587" s="299">
        <v>0</v>
      </c>
      <c r="H587" s="299">
        <f t="shared" si="4"/>
        <v>813.12000000000012</v>
      </c>
      <c r="I587" s="299"/>
    </row>
    <row r="588" spans="1:9" hidden="1" x14ac:dyDescent="0.3">
      <c r="A588" s="298" t="s">
        <v>1495</v>
      </c>
      <c r="B588" s="298" t="s">
        <v>293</v>
      </c>
      <c r="C588" s="298" t="s">
        <v>2199</v>
      </c>
      <c r="D588" s="298" t="s">
        <v>2240</v>
      </c>
      <c r="E588" s="298">
        <v>858.54</v>
      </c>
      <c r="F588" s="299">
        <v>0</v>
      </c>
      <c r="G588" s="299">
        <v>0</v>
      </c>
      <c r="H588" s="299">
        <f t="shared" si="4"/>
        <v>1030.248</v>
      </c>
      <c r="I588" s="299"/>
    </row>
    <row r="589" spans="1:9" hidden="1" x14ac:dyDescent="0.3">
      <c r="A589" s="298" t="s">
        <v>1498</v>
      </c>
      <c r="B589" s="298" t="s">
        <v>468</v>
      </c>
      <c r="C589" s="298" t="s">
        <v>1478</v>
      </c>
      <c r="D589" s="298" t="s">
        <v>1795</v>
      </c>
      <c r="E589" s="298">
        <v>1058.48</v>
      </c>
      <c r="F589" s="299">
        <v>0</v>
      </c>
      <c r="G589" s="299">
        <v>0</v>
      </c>
      <c r="H589" s="299">
        <f t="shared" si="4"/>
        <v>1270.1759999999999</v>
      </c>
      <c r="I589" s="299"/>
    </row>
    <row r="590" spans="1:9" hidden="1" x14ac:dyDescent="0.3">
      <c r="A590" s="298" t="s">
        <v>1501</v>
      </c>
      <c r="B590" s="298" t="s">
        <v>497</v>
      </c>
      <c r="C590" s="298" t="s">
        <v>1478</v>
      </c>
      <c r="D590" s="298" t="s">
        <v>1799</v>
      </c>
      <c r="E590" s="298">
        <v>1174.23</v>
      </c>
      <c r="F590" s="299">
        <v>0</v>
      </c>
      <c r="G590" s="299">
        <v>0</v>
      </c>
      <c r="H590" s="299">
        <f t="shared" si="4"/>
        <v>1409.076</v>
      </c>
      <c r="I590" s="299"/>
    </row>
    <row r="591" spans="1:9" hidden="1" x14ac:dyDescent="0.3">
      <c r="A591" s="298" t="s">
        <v>1503</v>
      </c>
      <c r="B591" s="298" t="s">
        <v>524</v>
      </c>
      <c r="C591" s="298" t="s">
        <v>1478</v>
      </c>
      <c r="D591" s="298" t="s">
        <v>1803</v>
      </c>
      <c r="E591" s="298">
        <v>1697.11</v>
      </c>
      <c r="F591" s="299">
        <v>0</v>
      </c>
      <c r="G591" s="299">
        <v>0</v>
      </c>
      <c r="H591" s="299">
        <f t="shared" si="4"/>
        <v>2036.5319999999997</v>
      </c>
      <c r="I591" s="299"/>
    </row>
    <row r="592" spans="1:9" hidden="1" x14ac:dyDescent="0.3">
      <c r="A592" s="298" t="s">
        <v>1505</v>
      </c>
      <c r="B592" s="298" t="s">
        <v>1684</v>
      </c>
      <c r="C592" s="298" t="s">
        <v>1478</v>
      </c>
      <c r="D592" s="298" t="s">
        <v>1807</v>
      </c>
      <c r="E592" s="298">
        <v>62.18</v>
      </c>
      <c r="F592" s="299">
        <v>0</v>
      </c>
      <c r="G592" s="299">
        <v>0</v>
      </c>
      <c r="H592" s="299">
        <f t="shared" si="4"/>
        <v>74.616</v>
      </c>
      <c r="I592" s="299"/>
    </row>
    <row r="593" spans="1:9" hidden="1" x14ac:dyDescent="0.3">
      <c r="A593" s="298" t="s">
        <v>1507</v>
      </c>
      <c r="B593" s="298" t="s">
        <v>457</v>
      </c>
      <c r="C593" s="298" t="s">
        <v>1478</v>
      </c>
      <c r="D593" s="298" t="s">
        <v>1813</v>
      </c>
      <c r="E593" s="298">
        <v>473.63</v>
      </c>
      <c r="F593" s="299">
        <v>4166.7</v>
      </c>
      <c r="G593" s="299">
        <v>5000</v>
      </c>
      <c r="H593" s="299">
        <f t="shared" si="4"/>
        <v>568.35599999999999</v>
      </c>
      <c r="I593" s="299"/>
    </row>
    <row r="594" spans="1:9" hidden="1" x14ac:dyDescent="0.3">
      <c r="A594" s="298" t="s">
        <v>1509</v>
      </c>
      <c r="B594" s="298" t="s">
        <v>290</v>
      </c>
      <c r="C594" s="298" t="s">
        <v>1478</v>
      </c>
      <c r="D594" s="298" t="s">
        <v>1819</v>
      </c>
      <c r="E594" s="298">
        <v>-234.85</v>
      </c>
      <c r="F594" s="299">
        <v>0</v>
      </c>
      <c r="G594" s="299">
        <v>0</v>
      </c>
      <c r="H594" s="299">
        <f t="shared" si="4"/>
        <v>-281.82</v>
      </c>
      <c r="I594" s="299"/>
    </row>
    <row r="595" spans="1:9" hidden="1" x14ac:dyDescent="0.3">
      <c r="A595" s="298" t="s">
        <v>1512</v>
      </c>
      <c r="B595" s="298" t="s">
        <v>422</v>
      </c>
      <c r="C595" s="298" t="s">
        <v>1478</v>
      </c>
      <c r="D595" s="298" t="s">
        <v>1787</v>
      </c>
      <c r="E595" s="298">
        <v>1871.34</v>
      </c>
      <c r="F595" s="299">
        <v>8333.2999999999993</v>
      </c>
      <c r="G595" s="299">
        <v>10000</v>
      </c>
      <c r="H595" s="299">
        <f t="shared" si="4"/>
        <v>2245.6079999999997</v>
      </c>
      <c r="I595" s="299"/>
    </row>
    <row r="596" spans="1:9" hidden="1" x14ac:dyDescent="0.3">
      <c r="A596" s="298" t="s">
        <v>1514</v>
      </c>
      <c r="B596" s="298" t="s">
        <v>293</v>
      </c>
      <c r="C596" s="298" t="s">
        <v>2199</v>
      </c>
      <c r="D596" s="298" t="s">
        <v>2242</v>
      </c>
      <c r="E596" s="298">
        <v>1212.68</v>
      </c>
      <c r="F596" s="299">
        <v>0</v>
      </c>
      <c r="G596" s="299">
        <v>0</v>
      </c>
      <c r="H596" s="299">
        <f t="shared" si="4"/>
        <v>1455.2159999999999</v>
      </c>
      <c r="I596" s="299"/>
    </row>
    <row r="597" spans="1:9" hidden="1" x14ac:dyDescent="0.3">
      <c r="A597" s="298" t="s">
        <v>1517</v>
      </c>
      <c r="B597" s="298" t="s">
        <v>293</v>
      </c>
      <c r="C597" s="298" t="s">
        <v>2199</v>
      </c>
      <c r="D597" s="298" t="s">
        <v>2244</v>
      </c>
      <c r="E597" s="298">
        <v>533.1</v>
      </c>
      <c r="F597" s="299">
        <v>0</v>
      </c>
      <c r="G597" s="299">
        <v>0</v>
      </c>
      <c r="H597" s="299">
        <f t="shared" si="4"/>
        <v>639.72</v>
      </c>
      <c r="I597" s="299"/>
    </row>
    <row r="598" spans="1:9" hidden="1" x14ac:dyDescent="0.3">
      <c r="A598" s="298" t="s">
        <v>1519</v>
      </c>
      <c r="B598" s="298" t="s">
        <v>293</v>
      </c>
      <c r="C598" s="298" t="s">
        <v>2199</v>
      </c>
      <c r="D598" s="298" t="s">
        <v>2246</v>
      </c>
      <c r="E598" s="298">
        <v>1134.51</v>
      </c>
      <c r="F598" s="299">
        <v>0</v>
      </c>
      <c r="G598" s="299">
        <v>0</v>
      </c>
      <c r="H598" s="299">
        <f t="shared" si="4"/>
        <v>1361.4119999999998</v>
      </c>
      <c r="I598" s="299"/>
    </row>
    <row r="599" spans="1:9" hidden="1" x14ac:dyDescent="0.3">
      <c r="A599" s="298" t="s">
        <v>1521</v>
      </c>
      <c r="B599" s="298" t="s">
        <v>293</v>
      </c>
      <c r="C599" s="298" t="s">
        <v>2199</v>
      </c>
      <c r="D599" s="298" t="s">
        <v>2248</v>
      </c>
      <c r="E599" s="298">
        <v>1369.28</v>
      </c>
      <c r="F599" s="299">
        <v>0</v>
      </c>
      <c r="G599" s="299">
        <v>0</v>
      </c>
      <c r="H599" s="299">
        <f t="shared" si="4"/>
        <v>1643.136</v>
      </c>
      <c r="I599" s="299"/>
    </row>
    <row r="600" spans="1:9" hidden="1" x14ac:dyDescent="0.3">
      <c r="A600" s="298" t="s">
        <v>1524</v>
      </c>
      <c r="B600" s="298" t="s">
        <v>293</v>
      </c>
      <c r="C600" s="298" t="s">
        <v>2199</v>
      </c>
      <c r="D600" s="298" t="s">
        <v>2250</v>
      </c>
      <c r="E600" s="298">
        <v>939.3</v>
      </c>
      <c r="F600" s="299">
        <v>0</v>
      </c>
      <c r="G600" s="299">
        <v>0</v>
      </c>
      <c r="H600" s="299">
        <f t="shared" si="4"/>
        <v>1127.1599999999999</v>
      </c>
      <c r="I600" s="299"/>
    </row>
    <row r="601" spans="1:9" hidden="1" x14ac:dyDescent="0.3">
      <c r="A601" s="298" t="s">
        <v>1526</v>
      </c>
      <c r="B601" s="298" t="s">
        <v>293</v>
      </c>
      <c r="C601" s="298" t="s">
        <v>2199</v>
      </c>
      <c r="D601" s="298" t="s">
        <v>2252</v>
      </c>
      <c r="E601" s="298">
        <v>961.17</v>
      </c>
      <c r="F601" s="299">
        <v>0</v>
      </c>
      <c r="G601" s="299">
        <v>0</v>
      </c>
      <c r="H601" s="299">
        <f t="shared" si="4"/>
        <v>1153.404</v>
      </c>
      <c r="I601" s="299"/>
    </row>
    <row r="602" spans="1:9" hidden="1" x14ac:dyDescent="0.3">
      <c r="A602" s="298" t="s">
        <v>1528</v>
      </c>
      <c r="B602" s="298" t="s">
        <v>293</v>
      </c>
      <c r="C602" s="298" t="s">
        <v>2199</v>
      </c>
      <c r="D602" s="298" t="s">
        <v>2254</v>
      </c>
      <c r="E602" s="298">
        <v>781.39</v>
      </c>
      <c r="F602" s="299">
        <v>0</v>
      </c>
      <c r="G602" s="299">
        <v>0</v>
      </c>
      <c r="H602" s="299">
        <f t="shared" si="4"/>
        <v>937.66799999999989</v>
      </c>
      <c r="I602" s="299"/>
    </row>
    <row r="603" spans="1:9" hidden="1" x14ac:dyDescent="0.3">
      <c r="A603" s="298" t="s">
        <v>1530</v>
      </c>
      <c r="B603" s="298" t="s">
        <v>293</v>
      </c>
      <c r="C603" s="298" t="s">
        <v>2199</v>
      </c>
      <c r="D603" s="298" t="s">
        <v>2256</v>
      </c>
      <c r="E603" s="298">
        <v>758.36</v>
      </c>
      <c r="F603" s="299">
        <v>0</v>
      </c>
      <c r="G603" s="299">
        <v>0</v>
      </c>
      <c r="H603" s="299">
        <f t="shared" si="4"/>
        <v>910.03199999999993</v>
      </c>
      <c r="I603" s="299"/>
    </row>
    <row r="604" spans="1:9" hidden="1" x14ac:dyDescent="0.3">
      <c r="A604" s="298" t="s">
        <v>1532</v>
      </c>
      <c r="B604" s="298" t="s">
        <v>293</v>
      </c>
      <c r="C604" s="298" t="s">
        <v>2199</v>
      </c>
      <c r="D604" s="298" t="s">
        <v>2258</v>
      </c>
      <c r="E604" s="298">
        <v>766.88</v>
      </c>
      <c r="F604" s="299">
        <v>0</v>
      </c>
      <c r="G604" s="299">
        <v>0</v>
      </c>
      <c r="H604" s="299">
        <f t="shared" si="4"/>
        <v>920.25600000000009</v>
      </c>
      <c r="I604" s="299"/>
    </row>
    <row r="605" spans="1:9" hidden="1" x14ac:dyDescent="0.3">
      <c r="A605" s="298" t="s">
        <v>1534</v>
      </c>
      <c r="B605" s="298" t="s">
        <v>293</v>
      </c>
      <c r="C605" s="298" t="s">
        <v>2199</v>
      </c>
      <c r="D605" s="298" t="s">
        <v>2260</v>
      </c>
      <c r="E605" s="298">
        <v>1065.42</v>
      </c>
      <c r="F605" s="299">
        <v>0</v>
      </c>
      <c r="G605" s="299">
        <v>0</v>
      </c>
      <c r="H605" s="299">
        <f t="shared" si="4"/>
        <v>1278.5039999999999</v>
      </c>
      <c r="I605" s="299"/>
    </row>
    <row r="606" spans="1:9" hidden="1" x14ac:dyDescent="0.3">
      <c r="A606" s="298" t="s">
        <v>1536</v>
      </c>
      <c r="B606" s="298" t="s">
        <v>293</v>
      </c>
      <c r="C606" s="298" t="s">
        <v>2199</v>
      </c>
      <c r="D606" s="298" t="s">
        <v>2262</v>
      </c>
      <c r="E606" s="298">
        <v>1481.3</v>
      </c>
      <c r="F606" s="299">
        <v>0</v>
      </c>
      <c r="G606" s="299">
        <v>0</v>
      </c>
      <c r="H606" s="299">
        <f t="shared" si="4"/>
        <v>1777.56</v>
      </c>
      <c r="I606" s="299"/>
    </row>
    <row r="607" spans="1:9" hidden="1" x14ac:dyDescent="0.3">
      <c r="A607" s="298" t="s">
        <v>1538</v>
      </c>
      <c r="B607" s="298" t="s">
        <v>293</v>
      </c>
      <c r="C607" s="298" t="s">
        <v>2199</v>
      </c>
      <c r="D607" s="298" t="s">
        <v>2264</v>
      </c>
      <c r="E607" s="298">
        <v>1338.05</v>
      </c>
      <c r="F607" s="299">
        <v>0</v>
      </c>
      <c r="G607" s="299">
        <v>0</v>
      </c>
      <c r="H607" s="299">
        <f t="shared" si="4"/>
        <v>1605.66</v>
      </c>
      <c r="I607" s="299"/>
    </row>
    <row r="608" spans="1:9" hidden="1" x14ac:dyDescent="0.3">
      <c r="A608" s="298" t="s">
        <v>1540</v>
      </c>
      <c r="B608" s="298" t="s">
        <v>293</v>
      </c>
      <c r="C608" s="298" t="s">
        <v>2199</v>
      </c>
      <c r="D608" s="298" t="s">
        <v>2266</v>
      </c>
      <c r="E608" s="298">
        <v>1047.6199999999999</v>
      </c>
      <c r="F608" s="299">
        <v>0</v>
      </c>
      <c r="G608" s="299">
        <v>0</v>
      </c>
      <c r="H608" s="299">
        <f t="shared" si="4"/>
        <v>1257.1439999999998</v>
      </c>
      <c r="I608" s="299"/>
    </row>
    <row r="609" spans="1:9" hidden="1" x14ac:dyDescent="0.3">
      <c r="A609" s="298" t="s">
        <v>1542</v>
      </c>
      <c r="B609" s="298" t="s">
        <v>280</v>
      </c>
      <c r="C609" s="298" t="s">
        <v>2199</v>
      </c>
      <c r="D609" s="298" t="s">
        <v>2268</v>
      </c>
      <c r="E609" s="298">
        <v>1953.19</v>
      </c>
      <c r="F609" s="299">
        <v>2000</v>
      </c>
      <c r="G609" s="299">
        <v>2400</v>
      </c>
      <c r="H609" s="299">
        <f t="shared" si="4"/>
        <v>2343.8280000000004</v>
      </c>
      <c r="I609" s="299"/>
    </row>
    <row r="610" spans="1:9" hidden="1" x14ac:dyDescent="0.3">
      <c r="A610" s="298" t="s">
        <v>1544</v>
      </c>
      <c r="B610" s="298" t="s">
        <v>280</v>
      </c>
      <c r="C610" s="298" t="s">
        <v>2199</v>
      </c>
      <c r="D610" s="298" t="s">
        <v>2270</v>
      </c>
      <c r="E610" s="298">
        <v>115.61</v>
      </c>
      <c r="F610" s="299">
        <v>0</v>
      </c>
      <c r="G610" s="299">
        <v>0</v>
      </c>
      <c r="H610" s="299">
        <f t="shared" ref="H610:H673" si="5">+E610/10*12</f>
        <v>138.732</v>
      </c>
      <c r="I610" s="299"/>
    </row>
    <row r="611" spans="1:9" hidden="1" x14ac:dyDescent="0.3">
      <c r="A611" s="298" t="s">
        <v>1546</v>
      </c>
      <c r="B611" s="298" t="s">
        <v>263</v>
      </c>
      <c r="C611" s="298" t="s">
        <v>2272</v>
      </c>
      <c r="D611" s="298" t="s">
        <v>2273</v>
      </c>
      <c r="E611" s="298">
        <v>14269.9</v>
      </c>
      <c r="F611" s="299">
        <v>0</v>
      </c>
      <c r="G611" s="299">
        <v>0</v>
      </c>
      <c r="H611" s="299">
        <f t="shared" si="5"/>
        <v>17123.88</v>
      </c>
      <c r="I611" s="299"/>
    </row>
    <row r="612" spans="1:9" hidden="1" x14ac:dyDescent="0.3">
      <c r="A612" s="298" t="s">
        <v>1548</v>
      </c>
      <c r="B612" s="298" t="s">
        <v>263</v>
      </c>
      <c r="C612" s="298" t="s">
        <v>2272</v>
      </c>
      <c r="D612" s="298" t="s">
        <v>2275</v>
      </c>
      <c r="E612" s="298">
        <v>7692.75</v>
      </c>
      <c r="F612" s="299">
        <v>0</v>
      </c>
      <c r="G612" s="299">
        <v>0</v>
      </c>
      <c r="H612" s="299">
        <f t="shared" si="5"/>
        <v>9231.2999999999993</v>
      </c>
      <c r="I612" s="299"/>
    </row>
    <row r="613" spans="1:9" hidden="1" x14ac:dyDescent="0.3">
      <c r="A613" s="298" t="s">
        <v>1550</v>
      </c>
      <c r="B613" s="298" t="s">
        <v>263</v>
      </c>
      <c r="C613" s="298" t="s">
        <v>2272</v>
      </c>
      <c r="D613" s="298" t="s">
        <v>2277</v>
      </c>
      <c r="E613" s="298">
        <v>890</v>
      </c>
      <c r="F613" s="299">
        <v>0</v>
      </c>
      <c r="G613" s="299">
        <v>0</v>
      </c>
      <c r="H613" s="299">
        <f t="shared" si="5"/>
        <v>1068</v>
      </c>
      <c r="I613" s="299"/>
    </row>
    <row r="614" spans="1:9" hidden="1" x14ac:dyDescent="0.3">
      <c r="A614" s="298" t="s">
        <v>1552</v>
      </c>
      <c r="B614" s="298" t="s">
        <v>1423</v>
      </c>
      <c r="C614" s="298" t="s">
        <v>2272</v>
      </c>
      <c r="D614" s="298" t="s">
        <v>2279</v>
      </c>
      <c r="E614" s="298">
        <v>0</v>
      </c>
      <c r="F614" s="299">
        <v>25000</v>
      </c>
      <c r="G614" s="299">
        <v>0</v>
      </c>
      <c r="H614" s="299">
        <f t="shared" si="5"/>
        <v>0</v>
      </c>
      <c r="I614" s="299"/>
    </row>
    <row r="615" spans="1:9" hidden="1" x14ac:dyDescent="0.3">
      <c r="A615" s="298" t="s">
        <v>1554</v>
      </c>
      <c r="B615" s="298" t="s">
        <v>1423</v>
      </c>
      <c r="C615" s="298" t="s">
        <v>2272</v>
      </c>
      <c r="D615" s="298" t="s">
        <v>2281</v>
      </c>
      <c r="E615" s="298">
        <v>9102.9500000000007</v>
      </c>
      <c r="F615" s="299">
        <v>0</v>
      </c>
      <c r="G615" s="299">
        <v>30000</v>
      </c>
      <c r="H615" s="299">
        <f t="shared" si="5"/>
        <v>10923.54</v>
      </c>
      <c r="I615" s="299"/>
    </row>
    <row r="616" spans="1:9" hidden="1" x14ac:dyDescent="0.3">
      <c r="A616" s="298" t="s">
        <v>1556</v>
      </c>
      <c r="B616" s="298" t="s">
        <v>1423</v>
      </c>
      <c r="C616" s="298" t="s">
        <v>2272</v>
      </c>
      <c r="D616" s="298" t="s">
        <v>2283</v>
      </c>
      <c r="E616" s="298">
        <v>6116.44</v>
      </c>
      <c r="F616" s="299">
        <v>4166.7</v>
      </c>
      <c r="G616" s="299">
        <v>0</v>
      </c>
      <c r="H616" s="299">
        <f t="shared" si="5"/>
        <v>7339.7280000000001</v>
      </c>
      <c r="I616" s="299"/>
    </row>
    <row r="617" spans="1:9" hidden="1" x14ac:dyDescent="0.3">
      <c r="A617" s="298" t="s">
        <v>1558</v>
      </c>
      <c r="B617" s="298" t="s">
        <v>1423</v>
      </c>
      <c r="C617" s="298" t="s">
        <v>2272</v>
      </c>
      <c r="D617" s="298" t="s">
        <v>2285</v>
      </c>
      <c r="E617" s="298">
        <v>18596.11</v>
      </c>
      <c r="F617" s="299">
        <v>0</v>
      </c>
      <c r="G617" s="299">
        <v>5000</v>
      </c>
      <c r="H617" s="299">
        <f t="shared" si="5"/>
        <v>22315.332000000002</v>
      </c>
      <c r="I617" s="299"/>
    </row>
    <row r="618" spans="1:9" hidden="1" x14ac:dyDescent="0.3">
      <c r="A618" s="298" t="s">
        <v>1560</v>
      </c>
      <c r="B618" s="298" t="s">
        <v>1423</v>
      </c>
      <c r="C618" s="298" t="s">
        <v>2272</v>
      </c>
      <c r="D618" s="298" t="s">
        <v>2287</v>
      </c>
      <c r="E618" s="298">
        <v>4868.5600000000004</v>
      </c>
      <c r="F618" s="299">
        <v>0</v>
      </c>
      <c r="G618" s="299">
        <v>0</v>
      </c>
      <c r="H618" s="299">
        <f t="shared" si="5"/>
        <v>5842.2720000000008</v>
      </c>
      <c r="I618" s="299"/>
    </row>
    <row r="619" spans="1:9" hidden="1" x14ac:dyDescent="0.3">
      <c r="A619" s="298" t="s">
        <v>1562</v>
      </c>
      <c r="B619" s="298" t="s">
        <v>293</v>
      </c>
      <c r="C619" s="298" t="s">
        <v>2272</v>
      </c>
      <c r="D619" s="298" t="s">
        <v>2293</v>
      </c>
      <c r="E619" s="298">
        <v>4138.33</v>
      </c>
      <c r="F619" s="299">
        <v>12500</v>
      </c>
      <c r="G619" s="299">
        <v>2000</v>
      </c>
      <c r="H619" s="299">
        <f t="shared" si="5"/>
        <v>4965.9959999999992</v>
      </c>
      <c r="I619" s="299"/>
    </row>
    <row r="620" spans="1:9" hidden="1" x14ac:dyDescent="0.3">
      <c r="A620" s="298" t="s">
        <v>1564</v>
      </c>
      <c r="B620" s="298" t="s">
        <v>293</v>
      </c>
      <c r="C620" s="298" t="s">
        <v>2272</v>
      </c>
      <c r="D620" s="298" t="s">
        <v>2295</v>
      </c>
      <c r="E620" s="298">
        <v>2384.81</v>
      </c>
      <c r="F620" s="299">
        <v>10833.3</v>
      </c>
      <c r="G620" s="299">
        <v>15000</v>
      </c>
      <c r="H620" s="299">
        <f t="shared" si="5"/>
        <v>2861.7719999999999</v>
      </c>
      <c r="I620" s="299"/>
    </row>
    <row r="621" spans="1:9" hidden="1" x14ac:dyDescent="0.3">
      <c r="A621" s="298" t="s">
        <v>1566</v>
      </c>
      <c r="B621" s="298" t="s">
        <v>293</v>
      </c>
      <c r="C621" s="298" t="s">
        <v>2272</v>
      </c>
      <c r="D621" s="298" t="s">
        <v>2297</v>
      </c>
      <c r="E621" s="298">
        <v>4680.9799999999996</v>
      </c>
      <c r="F621" s="299">
        <v>5877.5</v>
      </c>
      <c r="G621" s="299">
        <v>13000</v>
      </c>
      <c r="H621" s="299">
        <f t="shared" si="5"/>
        <v>5617.1759999999995</v>
      </c>
      <c r="I621" s="299"/>
    </row>
    <row r="622" spans="1:9" hidden="1" x14ac:dyDescent="0.3">
      <c r="A622" s="298" t="s">
        <v>1568</v>
      </c>
      <c r="B622" s="298" t="s">
        <v>293</v>
      </c>
      <c r="C622" s="298" t="s">
        <v>2272</v>
      </c>
      <c r="D622" s="298" t="s">
        <v>2299</v>
      </c>
      <c r="E622" s="298">
        <v>11419.35</v>
      </c>
      <c r="F622" s="299">
        <v>33864.199999999997</v>
      </c>
      <c r="G622" s="299">
        <v>7053</v>
      </c>
      <c r="H622" s="299">
        <f t="shared" si="5"/>
        <v>13703.22</v>
      </c>
      <c r="I622" s="299"/>
    </row>
    <row r="623" spans="1:9" hidden="1" x14ac:dyDescent="0.3">
      <c r="A623" s="298" t="s">
        <v>1570</v>
      </c>
      <c r="B623" s="298" t="s">
        <v>293</v>
      </c>
      <c r="C623" s="298" t="s">
        <v>2272</v>
      </c>
      <c r="D623" s="298" t="s">
        <v>2301</v>
      </c>
      <c r="E623" s="298">
        <v>397.59</v>
      </c>
      <c r="F623" s="299">
        <v>0</v>
      </c>
      <c r="G623" s="299">
        <v>40637</v>
      </c>
      <c r="H623" s="299">
        <f t="shared" si="5"/>
        <v>477.108</v>
      </c>
      <c r="I623" s="299"/>
    </row>
    <row r="624" spans="1:9" hidden="1" x14ac:dyDescent="0.3">
      <c r="A624" s="298" t="s">
        <v>1572</v>
      </c>
      <c r="B624" s="298" t="s">
        <v>293</v>
      </c>
      <c r="C624" s="298" t="s">
        <v>2272</v>
      </c>
      <c r="D624" s="298" t="s">
        <v>2303</v>
      </c>
      <c r="E624" s="298">
        <v>92.5</v>
      </c>
      <c r="F624" s="299">
        <v>0</v>
      </c>
      <c r="G624" s="299">
        <v>0</v>
      </c>
      <c r="H624" s="299">
        <f t="shared" si="5"/>
        <v>111</v>
      </c>
      <c r="I624" s="299"/>
    </row>
    <row r="625" spans="1:9" hidden="1" x14ac:dyDescent="0.3">
      <c r="A625" s="298" t="s">
        <v>1574</v>
      </c>
      <c r="B625" s="298" t="s">
        <v>293</v>
      </c>
      <c r="C625" s="298" t="s">
        <v>2272</v>
      </c>
      <c r="D625" s="298" t="s">
        <v>2305</v>
      </c>
      <c r="E625" s="298">
        <v>1467.16</v>
      </c>
      <c r="F625" s="299">
        <v>0</v>
      </c>
      <c r="G625" s="299">
        <v>0</v>
      </c>
      <c r="H625" s="299">
        <f t="shared" si="5"/>
        <v>1760.5920000000001</v>
      </c>
      <c r="I625" s="299"/>
    </row>
    <row r="626" spans="1:9" hidden="1" x14ac:dyDescent="0.3">
      <c r="A626" s="298" t="s">
        <v>1576</v>
      </c>
      <c r="B626" s="298" t="s">
        <v>293</v>
      </c>
      <c r="C626" s="298" t="s">
        <v>2272</v>
      </c>
      <c r="D626" s="298" t="s">
        <v>2307</v>
      </c>
      <c r="E626" s="298">
        <v>1943.94</v>
      </c>
      <c r="F626" s="299">
        <v>0</v>
      </c>
      <c r="G626" s="299">
        <v>0</v>
      </c>
      <c r="H626" s="299">
        <f t="shared" si="5"/>
        <v>2332.7280000000001</v>
      </c>
      <c r="I626" s="299"/>
    </row>
    <row r="627" spans="1:9" hidden="1" x14ac:dyDescent="0.3">
      <c r="A627" s="298" t="s">
        <v>1578</v>
      </c>
      <c r="B627" s="298" t="s">
        <v>293</v>
      </c>
      <c r="C627" s="298" t="s">
        <v>2272</v>
      </c>
      <c r="D627" s="298" t="s">
        <v>2309</v>
      </c>
      <c r="E627" s="298">
        <v>2648.58</v>
      </c>
      <c r="F627" s="299">
        <v>0</v>
      </c>
      <c r="G627" s="299">
        <v>0</v>
      </c>
      <c r="H627" s="299">
        <f t="shared" si="5"/>
        <v>3178.2960000000003</v>
      </c>
      <c r="I627" s="299"/>
    </row>
    <row r="628" spans="1:9" hidden="1" x14ac:dyDescent="0.3">
      <c r="A628" s="298" t="s">
        <v>1580</v>
      </c>
      <c r="B628" s="298" t="s">
        <v>293</v>
      </c>
      <c r="C628" s="298" t="s">
        <v>2272</v>
      </c>
      <c r="D628" s="298" t="s">
        <v>2311</v>
      </c>
      <c r="E628" s="298">
        <v>553.55999999999995</v>
      </c>
      <c r="F628" s="299">
        <v>0</v>
      </c>
      <c r="G628" s="299">
        <v>0</v>
      </c>
      <c r="H628" s="299">
        <f t="shared" si="5"/>
        <v>664.27199999999993</v>
      </c>
      <c r="I628" s="299"/>
    </row>
    <row r="629" spans="1:9" hidden="1" x14ac:dyDescent="0.3">
      <c r="A629" s="298" t="s">
        <v>1582</v>
      </c>
      <c r="B629" s="298" t="s">
        <v>293</v>
      </c>
      <c r="C629" s="298" t="s">
        <v>2272</v>
      </c>
      <c r="D629" s="298" t="s">
        <v>2313</v>
      </c>
      <c r="E629" s="298">
        <v>1336.68</v>
      </c>
      <c r="F629" s="299">
        <v>0</v>
      </c>
      <c r="G629" s="299">
        <v>0</v>
      </c>
      <c r="H629" s="299">
        <f t="shared" si="5"/>
        <v>1604.0160000000001</v>
      </c>
      <c r="I629" s="299"/>
    </row>
    <row r="630" spans="1:9" hidden="1" x14ac:dyDescent="0.3">
      <c r="A630" s="298" t="s">
        <v>1585</v>
      </c>
      <c r="B630" s="298" t="s">
        <v>293</v>
      </c>
      <c r="C630" s="298" t="s">
        <v>2272</v>
      </c>
      <c r="D630" s="298" t="s">
        <v>2315</v>
      </c>
      <c r="E630" s="298">
        <v>2344.39</v>
      </c>
      <c r="F630" s="299">
        <v>0</v>
      </c>
      <c r="G630" s="299">
        <v>0</v>
      </c>
      <c r="H630" s="299">
        <f t="shared" si="5"/>
        <v>2813.268</v>
      </c>
      <c r="I630" s="299"/>
    </row>
    <row r="631" spans="1:9" hidden="1" x14ac:dyDescent="0.3">
      <c r="A631" s="298" t="s">
        <v>1587</v>
      </c>
      <c r="B631" s="298" t="s">
        <v>293</v>
      </c>
      <c r="C631" s="298" t="s">
        <v>2272</v>
      </c>
      <c r="D631" s="298" t="s">
        <v>2317</v>
      </c>
      <c r="E631" s="298">
        <v>8480.9500000000007</v>
      </c>
      <c r="F631" s="299">
        <v>0</v>
      </c>
      <c r="G631" s="299">
        <v>0</v>
      </c>
      <c r="H631" s="299">
        <f t="shared" si="5"/>
        <v>10177.14</v>
      </c>
      <c r="I631" s="299"/>
    </row>
    <row r="632" spans="1:9" hidden="1" x14ac:dyDescent="0.3">
      <c r="A632" s="298" t="s">
        <v>1589</v>
      </c>
      <c r="B632" s="298" t="s">
        <v>293</v>
      </c>
      <c r="C632" s="298" t="s">
        <v>2272</v>
      </c>
      <c r="D632" s="298" t="s">
        <v>2319</v>
      </c>
      <c r="E632" s="298">
        <v>6322.16</v>
      </c>
      <c r="F632" s="299">
        <v>0</v>
      </c>
      <c r="G632" s="299">
        <v>0</v>
      </c>
      <c r="H632" s="299">
        <f t="shared" si="5"/>
        <v>7586.5920000000006</v>
      </c>
      <c r="I632" s="299"/>
    </row>
    <row r="633" spans="1:9" hidden="1" x14ac:dyDescent="0.3">
      <c r="A633" s="298" t="s">
        <v>1591</v>
      </c>
      <c r="B633" s="298" t="s">
        <v>293</v>
      </c>
      <c r="C633" s="298" t="s">
        <v>2272</v>
      </c>
      <c r="D633" s="298" t="s">
        <v>2321</v>
      </c>
      <c r="E633" s="298">
        <v>3273.81</v>
      </c>
      <c r="F633" s="299">
        <v>0</v>
      </c>
      <c r="G633" s="299">
        <v>0</v>
      </c>
      <c r="H633" s="299">
        <f t="shared" si="5"/>
        <v>3928.5719999999997</v>
      </c>
      <c r="I633" s="299"/>
    </row>
    <row r="634" spans="1:9" hidden="1" x14ac:dyDescent="0.3">
      <c r="A634" s="298" t="s">
        <v>1593</v>
      </c>
      <c r="B634" s="298" t="s">
        <v>293</v>
      </c>
      <c r="C634" s="298" t="s">
        <v>2272</v>
      </c>
      <c r="D634" s="298" t="s">
        <v>2323</v>
      </c>
      <c r="E634" s="298">
        <v>3952.04</v>
      </c>
      <c r="F634" s="299">
        <v>0</v>
      </c>
      <c r="G634" s="299">
        <v>0</v>
      </c>
      <c r="H634" s="299">
        <f t="shared" si="5"/>
        <v>4742.4480000000003</v>
      </c>
      <c r="I634" s="299"/>
    </row>
    <row r="635" spans="1:9" hidden="1" x14ac:dyDescent="0.3">
      <c r="A635" s="298" t="s">
        <v>1595</v>
      </c>
      <c r="B635" s="298" t="s">
        <v>293</v>
      </c>
      <c r="C635" s="298" t="s">
        <v>2272</v>
      </c>
      <c r="D635" s="298" t="s">
        <v>2325</v>
      </c>
      <c r="E635" s="298">
        <v>2553.9499999999998</v>
      </c>
      <c r="F635" s="299">
        <v>0</v>
      </c>
      <c r="G635" s="299">
        <v>0</v>
      </c>
      <c r="H635" s="299">
        <f t="shared" si="5"/>
        <v>3064.74</v>
      </c>
      <c r="I635" s="299"/>
    </row>
    <row r="636" spans="1:9" hidden="1" x14ac:dyDescent="0.3">
      <c r="A636" s="298" t="s">
        <v>1597</v>
      </c>
      <c r="B636" s="298" t="s">
        <v>293</v>
      </c>
      <c r="C636" s="298" t="s">
        <v>2272</v>
      </c>
      <c r="D636" s="298" t="s">
        <v>2327</v>
      </c>
      <c r="E636" s="298">
        <v>1146.6600000000001</v>
      </c>
      <c r="F636" s="299">
        <v>0</v>
      </c>
      <c r="G636" s="299">
        <v>0</v>
      </c>
      <c r="H636" s="299">
        <f t="shared" si="5"/>
        <v>1375.9920000000002</v>
      </c>
      <c r="I636" s="299"/>
    </row>
    <row r="637" spans="1:9" hidden="1" x14ac:dyDescent="0.3">
      <c r="A637" s="298" t="s">
        <v>1599</v>
      </c>
      <c r="B637" s="298" t="s">
        <v>293</v>
      </c>
      <c r="C637" s="298" t="s">
        <v>2272</v>
      </c>
      <c r="D637" s="298" t="s">
        <v>2329</v>
      </c>
      <c r="E637" s="298">
        <v>866.94</v>
      </c>
      <c r="F637" s="299">
        <v>0</v>
      </c>
      <c r="G637" s="299">
        <v>0</v>
      </c>
      <c r="H637" s="299">
        <f t="shared" si="5"/>
        <v>1040.328</v>
      </c>
      <c r="I637" s="299"/>
    </row>
    <row r="638" spans="1:9" hidden="1" x14ac:dyDescent="0.3">
      <c r="A638" s="298" t="s">
        <v>1601</v>
      </c>
      <c r="B638" s="298" t="s">
        <v>293</v>
      </c>
      <c r="C638" s="298" t="s">
        <v>2272</v>
      </c>
      <c r="D638" s="298" t="s">
        <v>2331</v>
      </c>
      <c r="E638" s="298">
        <v>4360.26</v>
      </c>
      <c r="F638" s="299">
        <v>0</v>
      </c>
      <c r="G638" s="299">
        <v>0</v>
      </c>
      <c r="H638" s="299">
        <f t="shared" si="5"/>
        <v>5232.3119999999999</v>
      </c>
      <c r="I638" s="299"/>
    </row>
    <row r="639" spans="1:9" hidden="1" x14ac:dyDescent="0.3">
      <c r="A639" s="298" t="s">
        <v>1603</v>
      </c>
      <c r="B639" s="298" t="s">
        <v>293</v>
      </c>
      <c r="C639" s="298" t="s">
        <v>2272</v>
      </c>
      <c r="D639" s="298" t="s">
        <v>2333</v>
      </c>
      <c r="E639" s="298">
        <v>403.27</v>
      </c>
      <c r="F639" s="299">
        <v>0</v>
      </c>
      <c r="G639" s="299">
        <v>0</v>
      </c>
      <c r="H639" s="299">
        <f t="shared" si="5"/>
        <v>483.92399999999998</v>
      </c>
      <c r="I639" s="299"/>
    </row>
    <row r="640" spans="1:9" hidden="1" x14ac:dyDescent="0.3">
      <c r="A640" s="298" t="s">
        <v>1605</v>
      </c>
      <c r="B640" s="298" t="s">
        <v>293</v>
      </c>
      <c r="C640" s="298" t="s">
        <v>2272</v>
      </c>
      <c r="D640" s="298" t="s">
        <v>2335</v>
      </c>
      <c r="E640" s="298">
        <v>517.59</v>
      </c>
      <c r="F640" s="299">
        <v>0</v>
      </c>
      <c r="G640" s="299">
        <v>0</v>
      </c>
      <c r="H640" s="299">
        <f t="shared" si="5"/>
        <v>621.10799999999995</v>
      </c>
      <c r="I640" s="299"/>
    </row>
    <row r="641" spans="1:9" hidden="1" x14ac:dyDescent="0.3">
      <c r="A641" s="298" t="s">
        <v>1607</v>
      </c>
      <c r="B641" s="298" t="s">
        <v>293</v>
      </c>
      <c r="C641" s="298" t="s">
        <v>2272</v>
      </c>
      <c r="D641" s="298" t="s">
        <v>2337</v>
      </c>
      <c r="E641" s="298">
        <v>103.94</v>
      </c>
      <c r="F641" s="299">
        <v>0</v>
      </c>
      <c r="G641" s="299">
        <v>0</v>
      </c>
      <c r="H641" s="299">
        <f t="shared" si="5"/>
        <v>124.72800000000001</v>
      </c>
      <c r="I641" s="299"/>
    </row>
    <row r="642" spans="1:9" hidden="1" x14ac:dyDescent="0.3">
      <c r="A642" s="298" t="s">
        <v>1609</v>
      </c>
      <c r="B642" s="298" t="s">
        <v>293</v>
      </c>
      <c r="C642" s="298" t="s">
        <v>2272</v>
      </c>
      <c r="D642" s="298" t="s">
        <v>2339</v>
      </c>
      <c r="E642" s="298">
        <v>154.09</v>
      </c>
      <c r="F642" s="299">
        <v>0</v>
      </c>
      <c r="G642" s="299">
        <v>0</v>
      </c>
      <c r="H642" s="299">
        <f t="shared" si="5"/>
        <v>184.90800000000002</v>
      </c>
      <c r="I642" s="299"/>
    </row>
    <row r="643" spans="1:9" hidden="1" x14ac:dyDescent="0.3">
      <c r="A643" s="298" t="s">
        <v>1611</v>
      </c>
      <c r="B643" s="298" t="s">
        <v>293</v>
      </c>
      <c r="C643" s="298" t="s">
        <v>2272</v>
      </c>
      <c r="D643" s="298" t="s">
        <v>2341</v>
      </c>
      <c r="E643" s="298">
        <v>2502.44</v>
      </c>
      <c r="F643" s="299">
        <v>0</v>
      </c>
      <c r="G643" s="299">
        <v>0</v>
      </c>
      <c r="H643" s="299">
        <f t="shared" si="5"/>
        <v>3002.9279999999999</v>
      </c>
      <c r="I643" s="299"/>
    </row>
    <row r="644" spans="1:9" hidden="1" x14ac:dyDescent="0.3">
      <c r="A644" s="298" t="s">
        <v>1613</v>
      </c>
      <c r="B644" s="298" t="s">
        <v>293</v>
      </c>
      <c r="C644" s="298" t="s">
        <v>2272</v>
      </c>
      <c r="D644" s="298" t="s">
        <v>2343</v>
      </c>
      <c r="E644" s="298">
        <v>1165.1300000000001</v>
      </c>
      <c r="F644" s="299">
        <v>0</v>
      </c>
      <c r="G644" s="299">
        <v>0</v>
      </c>
      <c r="H644" s="299">
        <f t="shared" si="5"/>
        <v>1398.1559999999999</v>
      </c>
      <c r="I644" s="299"/>
    </row>
    <row r="645" spans="1:9" hidden="1" x14ac:dyDescent="0.3">
      <c r="A645" s="298" t="s">
        <v>1615</v>
      </c>
      <c r="B645" s="298" t="s">
        <v>293</v>
      </c>
      <c r="C645" s="298" t="s">
        <v>2272</v>
      </c>
      <c r="D645" s="298" t="s">
        <v>2345</v>
      </c>
      <c r="E645" s="298">
        <v>4457.34</v>
      </c>
      <c r="F645" s="299">
        <v>0</v>
      </c>
      <c r="G645" s="299">
        <v>0</v>
      </c>
      <c r="H645" s="299">
        <f t="shared" si="5"/>
        <v>5348.8080000000009</v>
      </c>
      <c r="I645" s="299"/>
    </row>
    <row r="646" spans="1:9" hidden="1" x14ac:dyDescent="0.3">
      <c r="A646" s="298" t="s">
        <v>1617</v>
      </c>
      <c r="B646" s="298" t="s">
        <v>293</v>
      </c>
      <c r="C646" s="298" t="s">
        <v>2272</v>
      </c>
      <c r="D646" s="298" t="s">
        <v>2347</v>
      </c>
      <c r="E646" s="298">
        <v>275.23</v>
      </c>
      <c r="F646" s="299">
        <v>0</v>
      </c>
      <c r="G646" s="299">
        <v>0</v>
      </c>
      <c r="H646" s="299">
        <f t="shared" si="5"/>
        <v>330.27600000000007</v>
      </c>
      <c r="I646" s="299"/>
    </row>
    <row r="647" spans="1:9" hidden="1" x14ac:dyDescent="0.3">
      <c r="A647" s="298" t="s">
        <v>1619</v>
      </c>
      <c r="B647" s="298" t="s">
        <v>293</v>
      </c>
      <c r="C647" s="298" t="s">
        <v>2272</v>
      </c>
      <c r="D647" s="298" t="s">
        <v>2349</v>
      </c>
      <c r="E647" s="298">
        <v>1021.72</v>
      </c>
      <c r="F647" s="299">
        <v>0</v>
      </c>
      <c r="G647" s="299">
        <v>0</v>
      </c>
      <c r="H647" s="299">
        <f t="shared" si="5"/>
        <v>1226.0639999999999</v>
      </c>
      <c r="I647" s="299"/>
    </row>
    <row r="648" spans="1:9" hidden="1" x14ac:dyDescent="0.3">
      <c r="A648" s="298" t="s">
        <v>1621</v>
      </c>
      <c r="B648" s="298" t="s">
        <v>293</v>
      </c>
      <c r="C648" s="298" t="s">
        <v>2272</v>
      </c>
      <c r="D648" s="298" t="s">
        <v>2351</v>
      </c>
      <c r="E648" s="298">
        <v>1714.98</v>
      </c>
      <c r="F648" s="299">
        <v>0</v>
      </c>
      <c r="G648" s="299">
        <v>0</v>
      </c>
      <c r="H648" s="299">
        <f t="shared" si="5"/>
        <v>2057.9759999999997</v>
      </c>
      <c r="I648" s="299"/>
    </row>
    <row r="649" spans="1:9" hidden="1" x14ac:dyDescent="0.3">
      <c r="A649" s="298" t="s">
        <v>1623</v>
      </c>
      <c r="B649" s="298" t="s">
        <v>293</v>
      </c>
      <c r="C649" s="298" t="s">
        <v>2272</v>
      </c>
      <c r="D649" s="298" t="s">
        <v>2353</v>
      </c>
      <c r="E649" s="298">
        <v>2270.5500000000002</v>
      </c>
      <c r="F649" s="299">
        <v>0</v>
      </c>
      <c r="G649" s="299">
        <v>0</v>
      </c>
      <c r="H649" s="299">
        <f t="shared" si="5"/>
        <v>2724.66</v>
      </c>
      <c r="I649" s="299"/>
    </row>
    <row r="650" spans="1:9" hidden="1" x14ac:dyDescent="0.3">
      <c r="A650" s="298" t="s">
        <v>1625</v>
      </c>
      <c r="B650" s="298" t="s">
        <v>293</v>
      </c>
      <c r="C650" s="298" t="s">
        <v>2272</v>
      </c>
      <c r="D650" s="298" t="s">
        <v>2355</v>
      </c>
      <c r="E650" s="298">
        <v>2968.97</v>
      </c>
      <c r="F650" s="299">
        <v>0</v>
      </c>
      <c r="G650" s="299">
        <v>0</v>
      </c>
      <c r="H650" s="299">
        <f t="shared" si="5"/>
        <v>3562.7640000000001</v>
      </c>
      <c r="I650" s="294"/>
    </row>
    <row r="651" spans="1:9" hidden="1" x14ac:dyDescent="0.3">
      <c r="A651" s="298" t="s">
        <v>1627</v>
      </c>
      <c r="B651" s="298" t="s">
        <v>280</v>
      </c>
      <c r="C651" s="298" t="s">
        <v>2272</v>
      </c>
      <c r="D651" s="298" t="s">
        <v>2357</v>
      </c>
      <c r="E651" s="298">
        <v>4678.67</v>
      </c>
      <c r="F651" s="299">
        <v>15650</v>
      </c>
      <c r="G651" s="299">
        <v>18780</v>
      </c>
      <c r="H651" s="299">
        <f t="shared" si="5"/>
        <v>5614.4040000000005</v>
      </c>
      <c r="I651" s="294"/>
    </row>
    <row r="652" spans="1:9" hidden="1" x14ac:dyDescent="0.3">
      <c r="A652" s="298" t="s">
        <v>1629</v>
      </c>
      <c r="B652" s="298" t="s">
        <v>1423</v>
      </c>
      <c r="C652" s="298" t="s">
        <v>2272</v>
      </c>
      <c r="D652" s="298" t="s">
        <v>2359</v>
      </c>
      <c r="E652" s="298">
        <v>0</v>
      </c>
      <c r="F652" s="299">
        <v>16666.7</v>
      </c>
      <c r="G652" s="299">
        <v>20000</v>
      </c>
      <c r="H652" s="299">
        <f t="shared" si="5"/>
        <v>0</v>
      </c>
      <c r="I652" s="299"/>
    </row>
    <row r="653" spans="1:9" hidden="1" x14ac:dyDescent="0.3">
      <c r="A653" s="298" t="s">
        <v>1631</v>
      </c>
      <c r="B653" s="298" t="s">
        <v>1423</v>
      </c>
      <c r="C653" s="298" t="s">
        <v>2361</v>
      </c>
      <c r="D653" s="298" t="s">
        <v>2362</v>
      </c>
      <c r="E653" s="298">
        <v>1408.05</v>
      </c>
      <c r="F653" s="299">
        <v>0</v>
      </c>
      <c r="G653" s="299">
        <v>0</v>
      </c>
      <c r="H653" s="299">
        <f t="shared" si="5"/>
        <v>1689.66</v>
      </c>
      <c r="I653" s="299"/>
    </row>
    <row r="654" spans="1:9" hidden="1" x14ac:dyDescent="0.3">
      <c r="A654" s="298" t="s">
        <v>1633</v>
      </c>
      <c r="B654" s="298" t="s">
        <v>1423</v>
      </c>
      <c r="C654" s="298" t="s">
        <v>2361</v>
      </c>
      <c r="D654" s="298" t="s">
        <v>2364</v>
      </c>
      <c r="E654" s="298">
        <v>1369.52</v>
      </c>
      <c r="F654" s="299">
        <v>4166.7</v>
      </c>
      <c r="G654" s="299">
        <v>5000</v>
      </c>
      <c r="H654" s="299">
        <f t="shared" si="5"/>
        <v>1643.424</v>
      </c>
      <c r="I654" s="299"/>
    </row>
    <row r="655" spans="1:9" hidden="1" x14ac:dyDescent="0.3">
      <c r="A655" s="298" t="s">
        <v>1635</v>
      </c>
      <c r="B655" s="298" t="s">
        <v>1423</v>
      </c>
      <c r="C655" s="298" t="s">
        <v>2361</v>
      </c>
      <c r="D655" s="298" t="s">
        <v>2366</v>
      </c>
      <c r="E655" s="298">
        <v>7212.38</v>
      </c>
      <c r="F655" s="299">
        <v>0</v>
      </c>
      <c r="G655" s="299">
        <v>0</v>
      </c>
      <c r="H655" s="299">
        <f t="shared" si="5"/>
        <v>8654.8559999999998</v>
      </c>
      <c r="I655" s="299"/>
    </row>
    <row r="656" spans="1:9" hidden="1" x14ac:dyDescent="0.3">
      <c r="A656" s="298" t="s">
        <v>1637</v>
      </c>
      <c r="B656" s="298" t="s">
        <v>1423</v>
      </c>
      <c r="C656" s="298" t="s">
        <v>2361</v>
      </c>
      <c r="D656" s="298" t="s">
        <v>2368</v>
      </c>
      <c r="E656" s="298">
        <v>4860.05</v>
      </c>
      <c r="F656" s="299">
        <v>0</v>
      </c>
      <c r="G656" s="299">
        <v>0</v>
      </c>
      <c r="H656" s="299">
        <f t="shared" si="5"/>
        <v>5832.0599999999995</v>
      </c>
      <c r="I656" s="299"/>
    </row>
    <row r="657" spans="1:9" hidden="1" x14ac:dyDescent="0.3">
      <c r="A657" s="298" t="s">
        <v>1639</v>
      </c>
      <c r="B657" s="298" t="s">
        <v>293</v>
      </c>
      <c r="C657" s="298" t="s">
        <v>2361</v>
      </c>
      <c r="D657" s="298" t="s">
        <v>2374</v>
      </c>
      <c r="E657" s="298">
        <v>1663.81</v>
      </c>
      <c r="F657" s="299">
        <v>916.7</v>
      </c>
      <c r="H657" s="299">
        <f t="shared" si="5"/>
        <v>1996.5720000000001</v>
      </c>
      <c r="I657" s="299"/>
    </row>
    <row r="658" spans="1:9" hidden="1" x14ac:dyDescent="0.3">
      <c r="A658" s="298" t="s">
        <v>1641</v>
      </c>
      <c r="B658" s="298" t="s">
        <v>293</v>
      </c>
      <c r="C658" s="298" t="s">
        <v>2361</v>
      </c>
      <c r="D658" s="298" t="s">
        <v>2376</v>
      </c>
      <c r="E658" s="298">
        <v>1077.47</v>
      </c>
      <c r="F658" s="299">
        <v>0</v>
      </c>
      <c r="H658" s="299">
        <f t="shared" si="5"/>
        <v>1292.9639999999999</v>
      </c>
      <c r="I658" s="299"/>
    </row>
    <row r="659" spans="1:9" hidden="1" x14ac:dyDescent="0.3">
      <c r="A659" s="298" t="s">
        <v>1643</v>
      </c>
      <c r="B659" s="298" t="s">
        <v>293</v>
      </c>
      <c r="C659" s="298" t="s">
        <v>2361</v>
      </c>
      <c r="D659" s="298" t="s">
        <v>2378</v>
      </c>
      <c r="E659" s="298">
        <v>2091.39</v>
      </c>
      <c r="F659" s="299">
        <v>2083.3000000000002</v>
      </c>
      <c r="G659" s="299">
        <v>0</v>
      </c>
      <c r="H659" s="299">
        <f t="shared" si="5"/>
        <v>2509.6679999999997</v>
      </c>
      <c r="I659" s="299"/>
    </row>
    <row r="660" spans="1:9" hidden="1" x14ac:dyDescent="0.3">
      <c r="A660" s="298" t="s">
        <v>1645</v>
      </c>
      <c r="B660" s="298" t="s">
        <v>293</v>
      </c>
      <c r="C660" s="298" t="s">
        <v>2361</v>
      </c>
      <c r="D660" s="298" t="s">
        <v>2380</v>
      </c>
      <c r="E660" s="298">
        <v>164.48</v>
      </c>
      <c r="F660" s="299">
        <v>12500</v>
      </c>
      <c r="G660" s="299">
        <v>500</v>
      </c>
      <c r="H660" s="299">
        <f t="shared" si="5"/>
        <v>197.376</v>
      </c>
      <c r="I660" s="299"/>
    </row>
    <row r="661" spans="1:9" hidden="1" x14ac:dyDescent="0.3">
      <c r="A661" s="298" t="s">
        <v>1647</v>
      </c>
      <c r="B661" s="298" t="s">
        <v>293</v>
      </c>
      <c r="C661" s="298" t="s">
        <v>2361</v>
      </c>
      <c r="D661" s="298" t="s">
        <v>2382</v>
      </c>
      <c r="E661" s="298">
        <v>788.26</v>
      </c>
      <c r="F661" s="299">
        <v>0</v>
      </c>
      <c r="G661" s="299">
        <v>1100</v>
      </c>
      <c r="H661" s="299">
        <f t="shared" si="5"/>
        <v>945.91199999999992</v>
      </c>
      <c r="I661" s="299"/>
    </row>
    <row r="662" spans="1:9" hidden="1" x14ac:dyDescent="0.3">
      <c r="A662" s="298" t="s">
        <v>1649</v>
      </c>
      <c r="B662" s="298" t="s">
        <v>293</v>
      </c>
      <c r="C662" s="298" t="s">
        <v>2361</v>
      </c>
      <c r="D662" s="298" t="s">
        <v>2384</v>
      </c>
      <c r="E662" s="298">
        <v>335.47</v>
      </c>
      <c r="F662" s="299">
        <v>0</v>
      </c>
      <c r="G662" s="299">
        <v>0</v>
      </c>
      <c r="H662" s="299">
        <f t="shared" si="5"/>
        <v>402.56400000000008</v>
      </c>
      <c r="I662" s="299"/>
    </row>
    <row r="663" spans="1:9" hidden="1" x14ac:dyDescent="0.3">
      <c r="A663" s="298" t="s">
        <v>1651</v>
      </c>
      <c r="B663" s="298" t="s">
        <v>293</v>
      </c>
      <c r="C663" s="298" t="s">
        <v>2361</v>
      </c>
      <c r="D663" s="298" t="s">
        <v>2386</v>
      </c>
      <c r="E663" s="298">
        <v>821.57</v>
      </c>
      <c r="F663" s="299">
        <v>0</v>
      </c>
      <c r="G663" s="299">
        <v>2500</v>
      </c>
      <c r="H663" s="299">
        <f t="shared" si="5"/>
        <v>985.88400000000013</v>
      </c>
      <c r="I663" s="299"/>
    </row>
    <row r="664" spans="1:9" hidden="1" x14ac:dyDescent="0.3">
      <c r="A664" s="298" t="s">
        <v>1653</v>
      </c>
      <c r="B664" s="298" t="s">
        <v>293</v>
      </c>
      <c r="C664" s="298" t="s">
        <v>2361</v>
      </c>
      <c r="D664" s="298" t="s">
        <v>2392</v>
      </c>
      <c r="E664" s="298">
        <v>376.61</v>
      </c>
      <c r="F664" s="299">
        <v>0</v>
      </c>
      <c r="G664" s="299">
        <v>0</v>
      </c>
      <c r="H664" s="299">
        <f t="shared" si="5"/>
        <v>451.93200000000002</v>
      </c>
      <c r="I664" s="299"/>
    </row>
    <row r="665" spans="1:9" hidden="1" x14ac:dyDescent="0.3">
      <c r="A665" s="298" t="s">
        <v>1656</v>
      </c>
      <c r="B665" s="298" t="s">
        <v>293</v>
      </c>
      <c r="C665" s="298" t="s">
        <v>2361</v>
      </c>
      <c r="D665" s="298" t="s">
        <v>2394</v>
      </c>
      <c r="E665" s="298">
        <v>862.19</v>
      </c>
      <c r="F665" s="299">
        <v>0</v>
      </c>
      <c r="G665" s="299">
        <v>0</v>
      </c>
      <c r="H665" s="299">
        <f t="shared" si="5"/>
        <v>1034.6280000000002</v>
      </c>
      <c r="I665" s="299"/>
    </row>
    <row r="666" spans="1:9" hidden="1" x14ac:dyDescent="0.3">
      <c r="A666" s="298" t="s">
        <v>1658</v>
      </c>
      <c r="B666" s="298" t="s">
        <v>293</v>
      </c>
      <c r="C666" s="298" t="s">
        <v>2361</v>
      </c>
      <c r="D666" s="298" t="s">
        <v>2396</v>
      </c>
      <c r="E666" s="298">
        <v>1427.4</v>
      </c>
      <c r="F666" s="299">
        <v>0</v>
      </c>
      <c r="G666" s="299">
        <v>0</v>
      </c>
      <c r="H666" s="299">
        <f t="shared" si="5"/>
        <v>1712.88</v>
      </c>
      <c r="I666" s="299"/>
    </row>
    <row r="667" spans="1:9" hidden="1" x14ac:dyDescent="0.3">
      <c r="A667" s="298" t="s">
        <v>1660</v>
      </c>
      <c r="B667" s="298" t="s">
        <v>293</v>
      </c>
      <c r="C667" s="298" t="s">
        <v>2361</v>
      </c>
      <c r="D667" s="298" t="s">
        <v>2398</v>
      </c>
      <c r="E667" s="298">
        <v>862.23</v>
      </c>
      <c r="F667" s="299">
        <v>0</v>
      </c>
      <c r="G667" s="299">
        <v>0</v>
      </c>
      <c r="H667" s="299">
        <f t="shared" si="5"/>
        <v>1034.6759999999999</v>
      </c>
      <c r="I667" s="299"/>
    </row>
    <row r="668" spans="1:9" hidden="1" x14ac:dyDescent="0.3">
      <c r="A668" s="298" t="s">
        <v>1664</v>
      </c>
      <c r="B668" s="298" t="s">
        <v>293</v>
      </c>
      <c r="C668" s="298" t="s">
        <v>2361</v>
      </c>
      <c r="D668" s="298" t="s">
        <v>2400</v>
      </c>
      <c r="E668" s="298">
        <v>294.77</v>
      </c>
      <c r="F668" s="299">
        <v>0</v>
      </c>
      <c r="G668" s="299">
        <v>0</v>
      </c>
      <c r="H668" s="299">
        <f t="shared" si="5"/>
        <v>353.72399999999993</v>
      </c>
      <c r="I668" s="299"/>
    </row>
    <row r="669" spans="1:9" hidden="1" x14ac:dyDescent="0.3">
      <c r="A669" s="298" t="s">
        <v>1666</v>
      </c>
      <c r="B669" s="298" t="s">
        <v>293</v>
      </c>
      <c r="C669" s="298" t="s">
        <v>2361</v>
      </c>
      <c r="D669" s="298" t="s">
        <v>2402</v>
      </c>
      <c r="E669" s="298">
        <v>284.05</v>
      </c>
      <c r="F669" s="299">
        <v>0</v>
      </c>
      <c r="G669" s="299">
        <v>0</v>
      </c>
      <c r="H669" s="299">
        <f t="shared" si="5"/>
        <v>340.86</v>
      </c>
      <c r="I669" s="299"/>
    </row>
    <row r="670" spans="1:9" hidden="1" x14ac:dyDescent="0.3">
      <c r="A670" s="298" t="s">
        <v>1667</v>
      </c>
      <c r="B670" s="298" t="s">
        <v>293</v>
      </c>
      <c r="C670" s="298" t="s">
        <v>2361</v>
      </c>
      <c r="D670" s="298" t="s">
        <v>2404</v>
      </c>
      <c r="E670" s="298">
        <v>243.33</v>
      </c>
      <c r="F670" s="299">
        <v>0</v>
      </c>
      <c r="G670" s="299">
        <v>0</v>
      </c>
      <c r="H670" s="299">
        <f t="shared" si="5"/>
        <v>291.99600000000004</v>
      </c>
      <c r="I670" s="299"/>
    </row>
    <row r="671" spans="1:9" hidden="1" x14ac:dyDescent="0.3">
      <c r="A671" s="298" t="s">
        <v>1669</v>
      </c>
      <c r="B671" s="298" t="s">
        <v>293</v>
      </c>
      <c r="C671" s="298" t="s">
        <v>2361</v>
      </c>
      <c r="D671" s="298" t="s">
        <v>2406</v>
      </c>
      <c r="E671" s="298">
        <v>243.35</v>
      </c>
      <c r="F671" s="299">
        <v>0</v>
      </c>
      <c r="G671" s="299">
        <v>0</v>
      </c>
      <c r="H671" s="299">
        <f t="shared" si="5"/>
        <v>292.02</v>
      </c>
      <c r="I671" s="299"/>
    </row>
    <row r="672" spans="1:9" hidden="1" x14ac:dyDescent="0.3">
      <c r="A672" s="298" t="s">
        <v>1671</v>
      </c>
      <c r="B672" s="298" t="s">
        <v>293</v>
      </c>
      <c r="C672" s="298" t="s">
        <v>2361</v>
      </c>
      <c r="D672" s="298" t="s">
        <v>2408</v>
      </c>
      <c r="E672" s="298">
        <v>243.36</v>
      </c>
      <c r="F672" s="299">
        <v>0</v>
      </c>
      <c r="G672" s="299">
        <v>0</v>
      </c>
      <c r="H672" s="299">
        <f t="shared" si="5"/>
        <v>292.03200000000004</v>
      </c>
      <c r="I672" s="299"/>
    </row>
    <row r="673" spans="1:9" hidden="1" x14ac:dyDescent="0.3">
      <c r="A673" s="298" t="s">
        <v>1673</v>
      </c>
      <c r="B673" s="298" t="s">
        <v>293</v>
      </c>
      <c r="C673" s="298" t="s">
        <v>2361</v>
      </c>
      <c r="D673" s="298" t="s">
        <v>2410</v>
      </c>
      <c r="E673" s="298">
        <v>243.33</v>
      </c>
      <c r="F673" s="299">
        <v>0</v>
      </c>
      <c r="G673" s="299">
        <v>0</v>
      </c>
      <c r="H673" s="299">
        <f t="shared" si="5"/>
        <v>291.99600000000004</v>
      </c>
      <c r="I673" s="299"/>
    </row>
    <row r="674" spans="1:9" hidden="1" x14ac:dyDescent="0.3">
      <c r="A674" s="298" t="s">
        <v>1675</v>
      </c>
      <c r="B674" s="298" t="s">
        <v>293</v>
      </c>
      <c r="C674" s="298" t="s">
        <v>2361</v>
      </c>
      <c r="D674" s="298" t="s">
        <v>2412</v>
      </c>
      <c r="E674" s="298">
        <v>1053.1300000000001</v>
      </c>
      <c r="F674" s="299">
        <v>0</v>
      </c>
      <c r="G674" s="299">
        <v>0</v>
      </c>
      <c r="H674" s="299">
        <f t="shared" ref="H674:H737" si="6">+E674/10*12</f>
        <v>1263.7560000000003</v>
      </c>
      <c r="I674" s="299"/>
    </row>
    <row r="675" spans="1:9" hidden="1" x14ac:dyDescent="0.3">
      <c r="A675" s="298" t="s">
        <v>1677</v>
      </c>
      <c r="B675" s="298" t="s">
        <v>293</v>
      </c>
      <c r="C675" s="298" t="s">
        <v>2361</v>
      </c>
      <c r="D675" s="298" t="s">
        <v>2414</v>
      </c>
      <c r="E675" s="298">
        <v>1693.74</v>
      </c>
      <c r="F675" s="299">
        <v>0</v>
      </c>
      <c r="G675" s="299">
        <v>0</v>
      </c>
      <c r="H675" s="299">
        <f t="shared" si="6"/>
        <v>2032.4879999999998</v>
      </c>
      <c r="I675" s="299"/>
    </row>
    <row r="676" spans="1:9" hidden="1" x14ac:dyDescent="0.3">
      <c r="A676" s="298" t="s">
        <v>1679</v>
      </c>
      <c r="B676" s="298" t="s">
        <v>293</v>
      </c>
      <c r="C676" s="298" t="s">
        <v>2361</v>
      </c>
      <c r="D676" s="298" t="s">
        <v>2416</v>
      </c>
      <c r="E676" s="298">
        <v>284.06</v>
      </c>
      <c r="F676" s="299">
        <v>0</v>
      </c>
      <c r="G676" s="299">
        <v>0</v>
      </c>
      <c r="H676" s="299">
        <f t="shared" si="6"/>
        <v>340.87199999999996</v>
      </c>
      <c r="I676" s="299"/>
    </row>
    <row r="677" spans="1:9" hidden="1" x14ac:dyDescent="0.3">
      <c r="A677" s="298" t="s">
        <v>1681</v>
      </c>
      <c r="B677" s="298" t="s">
        <v>293</v>
      </c>
      <c r="C677" s="298" t="s">
        <v>2361</v>
      </c>
      <c r="D677" s="298" t="s">
        <v>2418</v>
      </c>
      <c r="E677" s="298">
        <v>387.13</v>
      </c>
      <c r="F677" s="299">
        <v>0</v>
      </c>
      <c r="G677" s="299">
        <v>0</v>
      </c>
      <c r="H677" s="299">
        <f t="shared" si="6"/>
        <v>464.55600000000004</v>
      </c>
      <c r="I677" s="299"/>
    </row>
    <row r="678" spans="1:9" hidden="1" x14ac:dyDescent="0.3">
      <c r="A678" s="298" t="s">
        <v>1683</v>
      </c>
      <c r="B678" s="298" t="s">
        <v>293</v>
      </c>
      <c r="C678" s="298" t="s">
        <v>2361</v>
      </c>
      <c r="D678" s="298" t="s">
        <v>2420</v>
      </c>
      <c r="E678" s="298">
        <v>243.34</v>
      </c>
      <c r="F678" s="299">
        <v>0</v>
      </c>
      <c r="G678" s="299">
        <v>0</v>
      </c>
      <c r="H678" s="299">
        <f t="shared" si="6"/>
        <v>292.00799999999998</v>
      </c>
      <c r="I678" s="299"/>
    </row>
    <row r="679" spans="1:9" hidden="1" x14ac:dyDescent="0.3">
      <c r="A679" s="298" t="s">
        <v>1686</v>
      </c>
      <c r="B679" s="298" t="s">
        <v>293</v>
      </c>
      <c r="C679" s="298" t="s">
        <v>2361</v>
      </c>
      <c r="D679" s="298" t="s">
        <v>2422</v>
      </c>
      <c r="E679" s="298">
        <v>777.85</v>
      </c>
      <c r="F679" s="299">
        <v>0</v>
      </c>
      <c r="G679" s="299">
        <v>0</v>
      </c>
      <c r="H679" s="299">
        <f t="shared" si="6"/>
        <v>933.42</v>
      </c>
      <c r="I679" s="299"/>
    </row>
    <row r="680" spans="1:9" hidden="1" x14ac:dyDescent="0.3">
      <c r="A680" s="298" t="s">
        <v>1688</v>
      </c>
      <c r="B680" s="298" t="s">
        <v>293</v>
      </c>
      <c r="C680" s="298" t="s">
        <v>2361</v>
      </c>
      <c r="D680" s="298" t="s">
        <v>2424</v>
      </c>
      <c r="E680" s="298">
        <v>777.85</v>
      </c>
      <c r="F680" s="299">
        <v>0</v>
      </c>
      <c r="G680" s="299">
        <v>0</v>
      </c>
      <c r="H680" s="299">
        <f t="shared" si="6"/>
        <v>933.42</v>
      </c>
      <c r="I680" s="299"/>
    </row>
    <row r="681" spans="1:9" hidden="1" x14ac:dyDescent="0.3">
      <c r="A681" s="298" t="s">
        <v>1690</v>
      </c>
      <c r="B681" s="298" t="s">
        <v>293</v>
      </c>
      <c r="C681" s="298" t="s">
        <v>2361</v>
      </c>
      <c r="D681" s="298" t="s">
        <v>2426</v>
      </c>
      <c r="E681" s="298">
        <v>317.31</v>
      </c>
      <c r="F681" s="299">
        <v>0</v>
      </c>
      <c r="G681" s="299">
        <v>0</v>
      </c>
      <c r="H681" s="299">
        <f t="shared" si="6"/>
        <v>380.77200000000005</v>
      </c>
      <c r="I681" s="299"/>
    </row>
    <row r="682" spans="1:9" hidden="1" x14ac:dyDescent="0.3">
      <c r="A682" s="298" t="s">
        <v>1692</v>
      </c>
      <c r="B682" s="298" t="s">
        <v>293</v>
      </c>
      <c r="C682" s="298" t="s">
        <v>2361</v>
      </c>
      <c r="D682" s="298" t="s">
        <v>2428</v>
      </c>
      <c r="E682" s="298">
        <v>519.70000000000005</v>
      </c>
      <c r="F682" s="299">
        <v>0</v>
      </c>
      <c r="G682" s="299">
        <v>0</v>
      </c>
      <c r="H682" s="299">
        <f t="shared" si="6"/>
        <v>623.6400000000001</v>
      </c>
      <c r="I682" s="299"/>
    </row>
    <row r="683" spans="1:9" hidden="1" x14ac:dyDescent="0.3">
      <c r="A683" s="298" t="s">
        <v>1694</v>
      </c>
      <c r="B683" s="298" t="s">
        <v>558</v>
      </c>
      <c r="C683" s="298" t="s">
        <v>1373</v>
      </c>
      <c r="D683" s="298" t="s">
        <v>1383</v>
      </c>
      <c r="E683" s="298">
        <v>3726.89</v>
      </c>
      <c r="F683" s="299">
        <v>6250</v>
      </c>
      <c r="G683" s="299">
        <v>7500</v>
      </c>
      <c r="H683" s="299">
        <f t="shared" si="6"/>
        <v>4472.268</v>
      </c>
      <c r="I683" s="299"/>
    </row>
    <row r="684" spans="1:9" hidden="1" x14ac:dyDescent="0.3">
      <c r="A684" s="298" t="s">
        <v>1697</v>
      </c>
      <c r="B684" s="298" t="s">
        <v>402</v>
      </c>
      <c r="C684" s="298" t="s">
        <v>1287</v>
      </c>
      <c r="D684" s="298" t="s">
        <v>2483</v>
      </c>
      <c r="E684" s="298">
        <v>1475</v>
      </c>
      <c r="F684" s="299">
        <v>1500</v>
      </c>
      <c r="G684" s="299">
        <v>1800</v>
      </c>
      <c r="H684" s="299">
        <f t="shared" si="6"/>
        <v>1770</v>
      </c>
      <c r="I684" s="299"/>
    </row>
    <row r="685" spans="1:9" hidden="1" x14ac:dyDescent="0.3">
      <c r="A685" s="298" t="s">
        <v>1699</v>
      </c>
      <c r="B685" s="298" t="s">
        <v>457</v>
      </c>
      <c r="C685" s="298" t="s">
        <v>1287</v>
      </c>
      <c r="D685" s="298" t="s">
        <v>1288</v>
      </c>
      <c r="E685" s="298">
        <v>14756.86</v>
      </c>
      <c r="F685" s="299">
        <v>2500</v>
      </c>
      <c r="G685" s="299">
        <v>3000</v>
      </c>
      <c r="H685" s="299">
        <f t="shared" si="6"/>
        <v>17708.232000000004</v>
      </c>
      <c r="I685" s="299"/>
    </row>
    <row r="686" spans="1:9" hidden="1" x14ac:dyDescent="0.3">
      <c r="A686" s="298" t="s">
        <v>1702</v>
      </c>
      <c r="B686" s="298" t="s">
        <v>402</v>
      </c>
      <c r="C686" s="298" t="s">
        <v>1287</v>
      </c>
      <c r="D686" s="298" t="s">
        <v>1290</v>
      </c>
      <c r="E686" s="298">
        <v>7033.53</v>
      </c>
      <c r="F686" s="299">
        <v>0</v>
      </c>
      <c r="G686" s="299">
        <v>0</v>
      </c>
      <c r="H686" s="299">
        <f t="shared" si="6"/>
        <v>8440.235999999999</v>
      </c>
      <c r="I686" s="299"/>
    </row>
    <row r="687" spans="1:9" hidden="1" x14ac:dyDescent="0.3">
      <c r="A687" s="298" t="s">
        <v>1704</v>
      </c>
      <c r="B687" s="298" t="s">
        <v>408</v>
      </c>
      <c r="C687" s="298" t="s">
        <v>1287</v>
      </c>
      <c r="D687" s="298" t="s">
        <v>1292</v>
      </c>
      <c r="E687" s="298">
        <v>10452.57</v>
      </c>
      <c r="F687" s="299">
        <v>0</v>
      </c>
      <c r="G687" s="299">
        <v>0</v>
      </c>
      <c r="H687" s="299">
        <f t="shared" si="6"/>
        <v>12543.084000000001</v>
      </c>
      <c r="I687" s="299"/>
    </row>
    <row r="688" spans="1:9" hidden="1" x14ac:dyDescent="0.3">
      <c r="A688" s="298" t="s">
        <v>1706</v>
      </c>
      <c r="B688" s="298" t="s">
        <v>465</v>
      </c>
      <c r="C688" s="298" t="s">
        <v>1287</v>
      </c>
      <c r="D688" s="298" t="s">
        <v>1294</v>
      </c>
      <c r="E688" s="298">
        <v>379.11</v>
      </c>
      <c r="F688" s="299">
        <v>2500</v>
      </c>
      <c r="G688" s="299">
        <v>3000</v>
      </c>
      <c r="H688" s="299">
        <f t="shared" si="6"/>
        <v>454.93200000000002</v>
      </c>
      <c r="I688" s="299"/>
    </row>
    <row r="689" spans="1:9" hidden="1" x14ac:dyDescent="0.3">
      <c r="A689" s="298" t="s">
        <v>1709</v>
      </c>
      <c r="B689" s="298" t="s">
        <v>473</v>
      </c>
      <c r="C689" s="298" t="s">
        <v>1287</v>
      </c>
      <c r="D689" s="298" t="s">
        <v>1296</v>
      </c>
      <c r="E689" s="298">
        <v>13477.84</v>
      </c>
      <c r="F689" s="299">
        <v>12500</v>
      </c>
      <c r="G689" s="299">
        <v>15000</v>
      </c>
      <c r="H689" s="299">
        <f t="shared" si="6"/>
        <v>16173.408000000001</v>
      </c>
      <c r="I689" s="299"/>
    </row>
    <row r="690" spans="1:9" hidden="1" x14ac:dyDescent="0.3">
      <c r="A690" s="298" t="s">
        <v>1712</v>
      </c>
      <c r="B690" s="298" t="s">
        <v>247</v>
      </c>
      <c r="C690" s="298" t="s">
        <v>1287</v>
      </c>
      <c r="D690" s="298" t="s">
        <v>1298</v>
      </c>
      <c r="E690" s="298">
        <v>538.15</v>
      </c>
      <c r="F690" s="299">
        <v>1666.7</v>
      </c>
      <c r="G690" s="299">
        <v>2000</v>
      </c>
      <c r="H690" s="299">
        <f t="shared" si="6"/>
        <v>645.78</v>
      </c>
      <c r="I690" s="299"/>
    </row>
    <row r="691" spans="1:9" hidden="1" x14ac:dyDescent="0.3">
      <c r="A691" s="298" t="s">
        <v>1714</v>
      </c>
      <c r="B691" s="298" t="s">
        <v>480</v>
      </c>
      <c r="C691" s="298" t="s">
        <v>1287</v>
      </c>
      <c r="D691" s="298" t="s">
        <v>1300</v>
      </c>
      <c r="E691" s="298">
        <v>224.82</v>
      </c>
      <c r="F691" s="299">
        <v>2500</v>
      </c>
      <c r="G691" s="299">
        <v>3000</v>
      </c>
      <c r="H691" s="299">
        <f t="shared" si="6"/>
        <v>269.78399999999999</v>
      </c>
      <c r="I691" s="299"/>
    </row>
    <row r="692" spans="1:9" hidden="1" x14ac:dyDescent="0.3">
      <c r="A692" s="298" t="s">
        <v>1717</v>
      </c>
      <c r="B692" s="298" t="s">
        <v>422</v>
      </c>
      <c r="C692" s="298" t="s">
        <v>1287</v>
      </c>
      <c r="D692" s="298" t="s">
        <v>1302</v>
      </c>
      <c r="E692" s="298">
        <v>2994.45</v>
      </c>
      <c r="F692" s="299">
        <v>2500</v>
      </c>
      <c r="G692" s="299">
        <v>3000</v>
      </c>
      <c r="H692" s="299">
        <f t="shared" si="6"/>
        <v>3593.34</v>
      </c>
      <c r="I692" s="299"/>
    </row>
    <row r="693" spans="1:9" hidden="1" x14ac:dyDescent="0.3">
      <c r="A693" s="298" t="s">
        <v>1719</v>
      </c>
      <c r="B693" s="298" t="s">
        <v>490</v>
      </c>
      <c r="C693" s="298" t="s">
        <v>1287</v>
      </c>
      <c r="D693" s="298" t="s">
        <v>1304</v>
      </c>
      <c r="E693" s="298">
        <v>4491.07</v>
      </c>
      <c r="F693" s="299">
        <v>2500</v>
      </c>
      <c r="G693" s="299">
        <v>3000</v>
      </c>
      <c r="H693" s="299">
        <f t="shared" si="6"/>
        <v>5389.2839999999997</v>
      </c>
      <c r="I693" s="299"/>
    </row>
    <row r="694" spans="1:9" hidden="1" x14ac:dyDescent="0.3">
      <c r="A694" s="298" t="s">
        <v>1722</v>
      </c>
      <c r="B694" s="298" t="s">
        <v>251</v>
      </c>
      <c r="C694" s="298" t="s">
        <v>1287</v>
      </c>
      <c r="D694" s="298" t="s">
        <v>1306</v>
      </c>
      <c r="E694" s="298">
        <v>18418.5</v>
      </c>
      <c r="F694" s="299">
        <v>16666.7</v>
      </c>
      <c r="G694" s="299">
        <v>20000</v>
      </c>
      <c r="H694" s="299">
        <f t="shared" si="6"/>
        <v>22102.199999999997</v>
      </c>
      <c r="I694" s="299"/>
    </row>
    <row r="695" spans="1:9" hidden="1" x14ac:dyDescent="0.3">
      <c r="A695" s="298" t="s">
        <v>1724</v>
      </c>
      <c r="B695" s="298" t="s">
        <v>257</v>
      </c>
      <c r="C695" s="298" t="s">
        <v>1287</v>
      </c>
      <c r="D695" s="298" t="s">
        <v>1308</v>
      </c>
      <c r="E695" s="298">
        <v>23109.439999999999</v>
      </c>
      <c r="F695" s="299">
        <v>0</v>
      </c>
      <c r="G695" s="299">
        <v>0</v>
      </c>
      <c r="H695" s="299">
        <f t="shared" si="6"/>
        <v>27731.328000000001</v>
      </c>
      <c r="I695" s="299"/>
    </row>
    <row r="696" spans="1:9" hidden="1" x14ac:dyDescent="0.3">
      <c r="A696" s="298" t="s">
        <v>1726</v>
      </c>
      <c r="B696" s="298" t="s">
        <v>293</v>
      </c>
      <c r="C696" s="298" t="s">
        <v>2025</v>
      </c>
      <c r="D696" s="298" t="s">
        <v>2066</v>
      </c>
      <c r="E696" s="298">
        <v>1144.97</v>
      </c>
      <c r="F696" s="299">
        <v>0</v>
      </c>
      <c r="G696" s="299">
        <v>0</v>
      </c>
      <c r="H696" s="299">
        <f t="shared" si="6"/>
        <v>1373.9639999999999</v>
      </c>
      <c r="I696" s="299"/>
    </row>
    <row r="697" spans="1:9" hidden="1" x14ac:dyDescent="0.3">
      <c r="A697" s="298" t="s">
        <v>1728</v>
      </c>
      <c r="B697" s="298" t="s">
        <v>257</v>
      </c>
      <c r="C697" s="298" t="s">
        <v>1287</v>
      </c>
      <c r="D697" s="298" t="s">
        <v>1310</v>
      </c>
      <c r="E697" s="298">
        <v>-5022.32</v>
      </c>
      <c r="F697" s="299">
        <v>4166.7</v>
      </c>
      <c r="G697" s="299">
        <v>5000</v>
      </c>
      <c r="H697" s="299">
        <f t="shared" si="6"/>
        <v>-6026.7839999999997</v>
      </c>
      <c r="I697" s="299"/>
    </row>
    <row r="698" spans="1:9" hidden="1" x14ac:dyDescent="0.3">
      <c r="A698" s="298" t="s">
        <v>1730</v>
      </c>
      <c r="B698" s="298" t="s">
        <v>490</v>
      </c>
      <c r="C698" s="298" t="s">
        <v>1287</v>
      </c>
      <c r="D698" s="298" t="s">
        <v>1312</v>
      </c>
      <c r="E698" s="298">
        <v>3039.17</v>
      </c>
      <c r="F698" s="299">
        <v>5000</v>
      </c>
      <c r="G698" s="299">
        <v>6000</v>
      </c>
      <c r="H698" s="299">
        <f t="shared" si="6"/>
        <v>3647.0040000000004</v>
      </c>
      <c r="I698" s="299"/>
    </row>
    <row r="699" spans="1:9" hidden="1" x14ac:dyDescent="0.3">
      <c r="A699" s="298" t="s">
        <v>1732</v>
      </c>
      <c r="B699" s="298" t="s">
        <v>508</v>
      </c>
      <c r="C699" s="298" t="s">
        <v>1287</v>
      </c>
      <c r="D699" s="298" t="s">
        <v>1314</v>
      </c>
      <c r="E699" s="298">
        <v>1641.84</v>
      </c>
      <c r="F699" s="299">
        <v>0</v>
      </c>
      <c r="G699" s="299">
        <v>0</v>
      </c>
      <c r="H699" s="299">
        <f t="shared" si="6"/>
        <v>1970.2080000000001</v>
      </c>
      <c r="I699" s="299"/>
    </row>
    <row r="700" spans="1:9" hidden="1" x14ac:dyDescent="0.3">
      <c r="A700" s="298" t="s">
        <v>1734</v>
      </c>
      <c r="B700" s="298" t="s">
        <v>511</v>
      </c>
      <c r="C700" s="298" t="s">
        <v>1287</v>
      </c>
      <c r="D700" s="298" t="s">
        <v>1316</v>
      </c>
      <c r="E700" s="298">
        <v>0</v>
      </c>
      <c r="F700" s="299">
        <v>1666.7</v>
      </c>
      <c r="G700" s="299">
        <v>2000</v>
      </c>
      <c r="H700" s="299">
        <f t="shared" si="6"/>
        <v>0</v>
      </c>
      <c r="I700" s="299"/>
    </row>
    <row r="701" spans="1:9" hidden="1" x14ac:dyDescent="0.3">
      <c r="A701" s="298" t="s">
        <v>1736</v>
      </c>
      <c r="B701" s="298" t="s">
        <v>422</v>
      </c>
      <c r="C701" s="298" t="s">
        <v>1287</v>
      </c>
      <c r="D701" s="298" t="s">
        <v>1318</v>
      </c>
      <c r="E701" s="298">
        <v>562.96</v>
      </c>
      <c r="F701" s="299">
        <v>1666.7</v>
      </c>
      <c r="G701" s="299">
        <v>2000</v>
      </c>
      <c r="H701" s="299">
        <f t="shared" si="6"/>
        <v>675.55200000000013</v>
      </c>
      <c r="I701" s="299"/>
    </row>
    <row r="702" spans="1:9" hidden="1" x14ac:dyDescent="0.3">
      <c r="A702" s="298" t="s">
        <v>1738</v>
      </c>
      <c r="B702" s="298" t="s">
        <v>293</v>
      </c>
      <c r="C702" s="298" t="s">
        <v>2025</v>
      </c>
      <c r="D702" s="298" t="s">
        <v>2068</v>
      </c>
      <c r="E702" s="298">
        <v>1402.22</v>
      </c>
      <c r="F702" s="299">
        <v>0</v>
      </c>
      <c r="G702" s="299">
        <v>0</v>
      </c>
      <c r="H702" s="299">
        <f t="shared" si="6"/>
        <v>1682.6640000000002</v>
      </c>
      <c r="I702" s="299"/>
    </row>
    <row r="703" spans="1:9" hidden="1" x14ac:dyDescent="0.3">
      <c r="A703" s="298" t="s">
        <v>1741</v>
      </c>
      <c r="B703" s="298" t="s">
        <v>300</v>
      </c>
      <c r="C703" s="298" t="s">
        <v>1287</v>
      </c>
      <c r="D703" s="298" t="s">
        <v>1320</v>
      </c>
      <c r="E703" s="298">
        <v>1959.26</v>
      </c>
      <c r="F703" s="299">
        <v>1583.3</v>
      </c>
      <c r="G703" s="299">
        <v>1900</v>
      </c>
      <c r="H703" s="299">
        <f t="shared" si="6"/>
        <v>2351.1120000000001</v>
      </c>
      <c r="I703" s="299"/>
    </row>
    <row r="704" spans="1:9" hidden="1" x14ac:dyDescent="0.3">
      <c r="A704" s="298" t="s">
        <v>1743</v>
      </c>
      <c r="B704" s="298" t="s">
        <v>490</v>
      </c>
      <c r="C704" s="298" t="s">
        <v>1287</v>
      </c>
      <c r="D704" s="298" t="s">
        <v>1322</v>
      </c>
      <c r="E704" s="298">
        <v>1406.67</v>
      </c>
      <c r="F704" s="299">
        <v>2500</v>
      </c>
      <c r="G704" s="299">
        <v>3000</v>
      </c>
      <c r="H704" s="299">
        <f t="shared" si="6"/>
        <v>1688.0039999999999</v>
      </c>
      <c r="I704" s="299"/>
    </row>
    <row r="705" spans="1:9" hidden="1" x14ac:dyDescent="0.3">
      <c r="A705" s="298" t="s">
        <v>1745</v>
      </c>
      <c r="B705" s="298" t="s">
        <v>422</v>
      </c>
      <c r="C705" s="298" t="s">
        <v>1287</v>
      </c>
      <c r="D705" s="298" t="s">
        <v>1327</v>
      </c>
      <c r="E705" s="298">
        <v>8497.2000000000007</v>
      </c>
      <c r="F705" s="299">
        <v>1666.7</v>
      </c>
      <c r="G705" s="299">
        <v>2000</v>
      </c>
      <c r="H705" s="299">
        <f t="shared" si="6"/>
        <v>10196.64</v>
      </c>
      <c r="I705" s="299"/>
    </row>
    <row r="706" spans="1:9" hidden="1" x14ac:dyDescent="0.3">
      <c r="A706" s="298" t="s">
        <v>1747</v>
      </c>
      <c r="B706" s="298" t="s">
        <v>280</v>
      </c>
      <c r="C706" s="298" t="s">
        <v>1287</v>
      </c>
      <c r="D706" s="298" t="s">
        <v>1329</v>
      </c>
      <c r="E706" s="298">
        <v>1124.5999999999999</v>
      </c>
      <c r="F706" s="299">
        <v>2500</v>
      </c>
      <c r="G706" s="299">
        <v>3000</v>
      </c>
      <c r="H706" s="299">
        <f t="shared" si="6"/>
        <v>1349.52</v>
      </c>
      <c r="I706" s="299"/>
    </row>
    <row r="707" spans="1:9" hidden="1" x14ac:dyDescent="0.3">
      <c r="A707" s="298" t="s">
        <v>1749</v>
      </c>
      <c r="B707" s="298" t="s">
        <v>303</v>
      </c>
      <c r="C707" s="298" t="s">
        <v>1287</v>
      </c>
      <c r="D707" s="298" t="s">
        <v>1331</v>
      </c>
      <c r="E707" s="298">
        <v>2259.9899999999998</v>
      </c>
      <c r="F707" s="299">
        <v>0</v>
      </c>
      <c r="G707" s="299">
        <v>0</v>
      </c>
      <c r="H707" s="299">
        <f t="shared" si="6"/>
        <v>2711.9879999999994</v>
      </c>
      <c r="I707" s="299"/>
    </row>
    <row r="708" spans="1:9" hidden="1" x14ac:dyDescent="0.3">
      <c r="A708" s="298" t="s">
        <v>1751</v>
      </c>
      <c r="B708" s="298" t="s">
        <v>280</v>
      </c>
      <c r="C708" s="298" t="s">
        <v>1287</v>
      </c>
      <c r="D708" s="298" t="s">
        <v>1333</v>
      </c>
      <c r="E708" s="298">
        <v>5078.3500000000004</v>
      </c>
      <c r="F708" s="299">
        <v>24716.7</v>
      </c>
      <c r="G708" s="299">
        <v>29660</v>
      </c>
      <c r="H708" s="299">
        <f t="shared" si="6"/>
        <v>6094.02</v>
      </c>
      <c r="I708" s="299"/>
    </row>
    <row r="709" spans="1:9" hidden="1" x14ac:dyDescent="0.3">
      <c r="A709" s="298" t="s">
        <v>1753</v>
      </c>
      <c r="B709" s="298" t="s">
        <v>280</v>
      </c>
      <c r="C709" s="298" t="s">
        <v>1287</v>
      </c>
      <c r="D709" s="298" t="s">
        <v>1335</v>
      </c>
      <c r="E709" s="298">
        <v>7250.4</v>
      </c>
      <c r="F709" s="299">
        <v>2500</v>
      </c>
      <c r="G709" s="299">
        <v>3000</v>
      </c>
      <c r="H709" s="299">
        <f t="shared" si="6"/>
        <v>8700.48</v>
      </c>
      <c r="I709" s="299"/>
    </row>
    <row r="710" spans="1:9" hidden="1" x14ac:dyDescent="0.3">
      <c r="A710" s="298" t="s">
        <v>1755</v>
      </c>
      <c r="B710" s="298" t="s">
        <v>280</v>
      </c>
      <c r="C710" s="298" t="s">
        <v>1287</v>
      </c>
      <c r="D710" s="298" t="s">
        <v>1337</v>
      </c>
      <c r="E710" s="298">
        <v>12639.69</v>
      </c>
      <c r="F710" s="299">
        <v>2500</v>
      </c>
      <c r="G710" s="299">
        <v>3000</v>
      </c>
      <c r="H710" s="299">
        <f t="shared" si="6"/>
        <v>15167.628000000001</v>
      </c>
      <c r="I710" s="299"/>
    </row>
    <row r="711" spans="1:9" hidden="1" x14ac:dyDescent="0.3">
      <c r="A711" s="298" t="s">
        <v>1757</v>
      </c>
      <c r="B711" s="298" t="s">
        <v>280</v>
      </c>
      <c r="C711" s="298" t="s">
        <v>1287</v>
      </c>
      <c r="D711" s="298" t="s">
        <v>1339</v>
      </c>
      <c r="E711" s="298">
        <v>4484.46</v>
      </c>
      <c r="F711" s="299">
        <v>4166.7</v>
      </c>
      <c r="G711" s="299">
        <v>5000</v>
      </c>
      <c r="H711" s="299">
        <f t="shared" si="6"/>
        <v>5381.3520000000008</v>
      </c>
      <c r="I711" s="299"/>
    </row>
    <row r="712" spans="1:9" hidden="1" x14ac:dyDescent="0.3">
      <c r="A712" s="298" t="s">
        <v>1759</v>
      </c>
      <c r="B712" s="298" t="s">
        <v>280</v>
      </c>
      <c r="C712" s="298" t="s">
        <v>1287</v>
      </c>
      <c r="D712" s="298" t="s">
        <v>1341</v>
      </c>
      <c r="E712" s="298">
        <v>3476.8</v>
      </c>
      <c r="F712" s="299">
        <v>4166.7</v>
      </c>
      <c r="G712" s="299">
        <v>5000</v>
      </c>
      <c r="H712" s="299">
        <f t="shared" si="6"/>
        <v>4172.16</v>
      </c>
      <c r="I712" s="299"/>
    </row>
    <row r="713" spans="1:9" hidden="1" x14ac:dyDescent="0.3">
      <c r="A713" s="298" t="s">
        <v>1761</v>
      </c>
      <c r="B713" s="298" t="s">
        <v>303</v>
      </c>
      <c r="C713" s="298" t="s">
        <v>1287</v>
      </c>
      <c r="D713" s="298" t="s">
        <v>1343</v>
      </c>
      <c r="E713" s="298">
        <v>1342.56</v>
      </c>
      <c r="F713" s="299">
        <v>833.3</v>
      </c>
      <c r="G713" s="299">
        <v>1000</v>
      </c>
      <c r="H713" s="299">
        <f t="shared" si="6"/>
        <v>1611.0720000000001</v>
      </c>
      <c r="I713" s="299"/>
    </row>
    <row r="714" spans="1:9" hidden="1" x14ac:dyDescent="0.3">
      <c r="A714" s="298" t="s">
        <v>1763</v>
      </c>
      <c r="B714" s="298" t="s">
        <v>280</v>
      </c>
      <c r="C714" s="298" t="s">
        <v>1287</v>
      </c>
      <c r="D714" s="298" t="s">
        <v>1345</v>
      </c>
      <c r="E714" s="298">
        <v>14712.73</v>
      </c>
      <c r="F714" s="299">
        <v>6250</v>
      </c>
      <c r="G714" s="299">
        <v>7500</v>
      </c>
      <c r="H714" s="299">
        <f t="shared" si="6"/>
        <v>17655.275999999998</v>
      </c>
      <c r="I714" s="299"/>
    </row>
    <row r="715" spans="1:9" hidden="1" x14ac:dyDescent="0.3">
      <c r="A715" s="298" t="s">
        <v>1765</v>
      </c>
      <c r="B715" s="298" t="s">
        <v>283</v>
      </c>
      <c r="C715" s="298" t="s">
        <v>1287</v>
      </c>
      <c r="D715" s="298" t="s">
        <v>1347</v>
      </c>
      <c r="E715" s="298">
        <v>132.69999999999999</v>
      </c>
      <c r="F715" s="299">
        <v>0</v>
      </c>
      <c r="G715" s="299">
        <v>0</v>
      </c>
      <c r="H715" s="299">
        <f t="shared" si="6"/>
        <v>159.24</v>
      </c>
      <c r="I715" s="299"/>
    </row>
    <row r="716" spans="1:9" x14ac:dyDescent="0.3">
      <c r="A716" s="298" t="s">
        <v>1767</v>
      </c>
      <c r="B716" s="298" t="s">
        <v>287</v>
      </c>
      <c r="C716" s="298" t="s">
        <v>1287</v>
      </c>
      <c r="D716" s="298" t="s">
        <v>1349</v>
      </c>
      <c r="E716" s="298">
        <v>7232.14</v>
      </c>
      <c r="F716" s="299">
        <v>36234.199999999997</v>
      </c>
      <c r="G716" s="299">
        <v>43481</v>
      </c>
      <c r="H716" s="299">
        <f t="shared" si="6"/>
        <v>8678.5680000000011</v>
      </c>
      <c r="I716" s="299"/>
    </row>
    <row r="717" spans="1:9" x14ac:dyDescent="0.3">
      <c r="A717" s="298" t="s">
        <v>1769</v>
      </c>
      <c r="B717" s="298" t="s">
        <v>287</v>
      </c>
      <c r="C717" s="298" t="s">
        <v>1287</v>
      </c>
      <c r="D717" s="298" t="s">
        <v>1351</v>
      </c>
      <c r="E717" s="298">
        <v>916.49</v>
      </c>
      <c r="F717" s="299">
        <v>0</v>
      </c>
      <c r="G717" s="299">
        <v>0</v>
      </c>
      <c r="H717" s="299">
        <f t="shared" si="6"/>
        <v>1099.788</v>
      </c>
      <c r="I717" s="299"/>
    </row>
    <row r="718" spans="1:9" x14ac:dyDescent="0.3">
      <c r="A718" s="298" t="s">
        <v>1771</v>
      </c>
      <c r="B718" s="298" t="s">
        <v>287</v>
      </c>
      <c r="C718" s="298" t="s">
        <v>1287</v>
      </c>
      <c r="D718" s="298" t="s">
        <v>1353</v>
      </c>
      <c r="E718" s="298">
        <v>1468.26</v>
      </c>
      <c r="F718" s="299">
        <v>0</v>
      </c>
      <c r="G718" s="299">
        <v>0</v>
      </c>
      <c r="H718" s="299">
        <f t="shared" si="6"/>
        <v>1761.9119999999998</v>
      </c>
      <c r="I718" s="299"/>
    </row>
    <row r="719" spans="1:9" x14ac:dyDescent="0.3">
      <c r="A719" s="298" t="s">
        <v>1773</v>
      </c>
      <c r="B719" s="298" t="s">
        <v>287</v>
      </c>
      <c r="C719" s="298" t="s">
        <v>1287</v>
      </c>
      <c r="D719" s="298" t="s">
        <v>1355</v>
      </c>
      <c r="E719" s="298">
        <v>296.24</v>
      </c>
      <c r="F719" s="299">
        <v>0</v>
      </c>
      <c r="G719" s="299">
        <v>0</v>
      </c>
      <c r="H719" s="299">
        <f t="shared" si="6"/>
        <v>355.48800000000006</v>
      </c>
      <c r="I719" s="299"/>
    </row>
    <row r="720" spans="1:9" x14ac:dyDescent="0.3">
      <c r="A720" s="298" t="s">
        <v>1775</v>
      </c>
      <c r="B720" s="298" t="s">
        <v>287</v>
      </c>
      <c r="C720" s="298" t="s">
        <v>1287</v>
      </c>
      <c r="D720" s="298" t="s">
        <v>1357</v>
      </c>
      <c r="E720" s="298">
        <v>6152.77</v>
      </c>
      <c r="F720" s="299">
        <v>0</v>
      </c>
      <c r="G720" s="299">
        <v>0</v>
      </c>
      <c r="H720" s="299">
        <f t="shared" si="6"/>
        <v>7383.3240000000005</v>
      </c>
      <c r="I720" s="299"/>
    </row>
    <row r="721" spans="1:9" x14ac:dyDescent="0.3">
      <c r="A721" s="298" t="s">
        <v>1777</v>
      </c>
      <c r="B721" s="298" t="s">
        <v>287</v>
      </c>
      <c r="C721" s="298" t="s">
        <v>1287</v>
      </c>
      <c r="D721" s="298" t="s">
        <v>1359</v>
      </c>
      <c r="E721" s="298">
        <v>1762.05</v>
      </c>
      <c r="F721" s="299">
        <v>0</v>
      </c>
      <c r="G721" s="299">
        <v>0</v>
      </c>
      <c r="H721" s="299">
        <f t="shared" si="6"/>
        <v>2114.46</v>
      </c>
      <c r="I721" s="299"/>
    </row>
    <row r="722" spans="1:9" x14ac:dyDescent="0.3">
      <c r="A722" s="298" t="s">
        <v>1779</v>
      </c>
      <c r="B722" s="298" t="s">
        <v>287</v>
      </c>
      <c r="C722" s="298" t="s">
        <v>1287</v>
      </c>
      <c r="D722" s="298" t="s">
        <v>1361</v>
      </c>
      <c r="E722" s="298">
        <v>175</v>
      </c>
      <c r="F722" s="299">
        <v>0</v>
      </c>
      <c r="G722" s="299">
        <v>0</v>
      </c>
      <c r="H722" s="299">
        <f t="shared" si="6"/>
        <v>210</v>
      </c>
      <c r="I722" s="299"/>
    </row>
    <row r="723" spans="1:9" hidden="1" x14ac:dyDescent="0.3">
      <c r="A723" s="298" t="s">
        <v>1782</v>
      </c>
      <c r="B723" s="298" t="s">
        <v>412</v>
      </c>
      <c r="C723" s="298" t="s">
        <v>1287</v>
      </c>
      <c r="D723" s="298" t="s">
        <v>1363</v>
      </c>
      <c r="E723" s="298">
        <v>1716.98</v>
      </c>
      <c r="F723" s="299">
        <v>4166.7</v>
      </c>
      <c r="G723" s="299">
        <v>0</v>
      </c>
      <c r="H723" s="299">
        <f t="shared" si="6"/>
        <v>2060.3760000000002</v>
      </c>
      <c r="I723" s="299"/>
    </row>
    <row r="724" spans="1:9" hidden="1" x14ac:dyDescent="0.3">
      <c r="A724" s="298" t="s">
        <v>1784</v>
      </c>
      <c r="B724" s="298" t="s">
        <v>306</v>
      </c>
      <c r="C724" s="298" t="s">
        <v>1287</v>
      </c>
      <c r="D724" s="298" t="s">
        <v>1365</v>
      </c>
      <c r="E724" s="298">
        <v>2805.33</v>
      </c>
      <c r="F724" s="299">
        <v>58522.5</v>
      </c>
      <c r="G724" s="299">
        <v>5000</v>
      </c>
      <c r="H724" s="299">
        <f t="shared" si="6"/>
        <v>3366.3960000000002</v>
      </c>
      <c r="I724" s="299"/>
    </row>
    <row r="725" spans="1:9" hidden="1" x14ac:dyDescent="0.3">
      <c r="A725" s="298" t="s">
        <v>1786</v>
      </c>
      <c r="B725" s="298" t="s">
        <v>402</v>
      </c>
      <c r="C725" s="298" t="s">
        <v>1287</v>
      </c>
      <c r="D725" s="298" t="s">
        <v>1389</v>
      </c>
      <c r="E725" s="298">
        <v>2010.51</v>
      </c>
      <c r="F725" s="299">
        <v>0</v>
      </c>
      <c r="G725" s="299">
        <v>0</v>
      </c>
      <c r="H725" s="299">
        <f t="shared" si="6"/>
        <v>2412.6120000000001</v>
      </c>
      <c r="I725" s="299"/>
    </row>
    <row r="726" spans="1:9" hidden="1" x14ac:dyDescent="0.3">
      <c r="A726" s="298" t="s">
        <v>1788</v>
      </c>
      <c r="B726" s="298" t="s">
        <v>558</v>
      </c>
      <c r="C726" s="298" t="s">
        <v>1287</v>
      </c>
      <c r="D726" s="298" t="s">
        <v>1367</v>
      </c>
      <c r="E726" s="298">
        <v>9111.41</v>
      </c>
      <c r="F726" s="299">
        <v>1666.7</v>
      </c>
      <c r="G726" s="299">
        <v>70227</v>
      </c>
      <c r="H726" s="299">
        <f t="shared" si="6"/>
        <v>10933.691999999999</v>
      </c>
      <c r="I726" s="299"/>
    </row>
    <row r="727" spans="1:9" hidden="1" x14ac:dyDescent="0.3">
      <c r="A727" s="298" t="s">
        <v>1790</v>
      </c>
      <c r="B727" s="298" t="s">
        <v>290</v>
      </c>
      <c r="C727" s="298" t="s">
        <v>1287</v>
      </c>
      <c r="D727" s="298" t="s">
        <v>1369</v>
      </c>
      <c r="E727" s="298">
        <v>683.93</v>
      </c>
      <c r="F727" s="299">
        <v>0</v>
      </c>
      <c r="G727" s="299">
        <v>0</v>
      </c>
      <c r="H727" s="299">
        <f t="shared" si="6"/>
        <v>820.71600000000001</v>
      </c>
      <c r="I727" s="299"/>
    </row>
    <row r="728" spans="1:9" hidden="1" x14ac:dyDescent="0.3">
      <c r="A728" s="298" t="s">
        <v>1792</v>
      </c>
      <c r="B728" s="298" t="s">
        <v>412</v>
      </c>
      <c r="C728" s="298" t="s">
        <v>1287</v>
      </c>
      <c r="D728" s="298" t="s">
        <v>1371</v>
      </c>
      <c r="E728" s="298">
        <v>96.76</v>
      </c>
      <c r="F728" s="299">
        <v>0</v>
      </c>
      <c r="G728" s="299">
        <v>0</v>
      </c>
      <c r="H728" s="299">
        <f t="shared" si="6"/>
        <v>116.11199999999999</v>
      </c>
      <c r="I728" s="299"/>
    </row>
    <row r="729" spans="1:9" hidden="1" x14ac:dyDescent="0.3">
      <c r="A729" s="298" t="s">
        <v>1794</v>
      </c>
      <c r="B729" s="298" t="s">
        <v>402</v>
      </c>
      <c r="C729" s="298" t="s">
        <v>1287</v>
      </c>
      <c r="D729" s="298" t="s">
        <v>2451</v>
      </c>
      <c r="E729" s="298">
        <v>9627.08</v>
      </c>
      <c r="F729" s="299">
        <v>6250</v>
      </c>
      <c r="G729" s="299">
        <v>0</v>
      </c>
      <c r="H729" s="299">
        <f t="shared" si="6"/>
        <v>11552.495999999999</v>
      </c>
      <c r="I729" s="299"/>
    </row>
    <row r="730" spans="1:9" hidden="1" x14ac:dyDescent="0.3">
      <c r="A730" s="298" t="s">
        <v>1796</v>
      </c>
      <c r="B730" s="298" t="s">
        <v>402</v>
      </c>
      <c r="C730" s="298" t="s">
        <v>1287</v>
      </c>
      <c r="D730" s="298" t="s">
        <v>2453</v>
      </c>
      <c r="E730" s="298">
        <v>3470.98</v>
      </c>
      <c r="F730" s="299">
        <v>2500</v>
      </c>
      <c r="G730" s="299">
        <v>7500</v>
      </c>
      <c r="H730" s="299">
        <f t="shared" si="6"/>
        <v>4165.1760000000004</v>
      </c>
      <c r="I730" s="299"/>
    </row>
    <row r="731" spans="1:9" hidden="1" x14ac:dyDescent="0.3">
      <c r="A731" s="298" t="s">
        <v>1798</v>
      </c>
      <c r="B731" s="298" t="s">
        <v>251</v>
      </c>
      <c r="C731" s="298" t="s">
        <v>1287</v>
      </c>
      <c r="D731" s="298" t="s">
        <v>2455</v>
      </c>
      <c r="E731" s="298">
        <v>1183.3399999999999</v>
      </c>
      <c r="F731" s="299">
        <v>2500</v>
      </c>
      <c r="G731" s="299">
        <v>3000</v>
      </c>
      <c r="H731" s="299">
        <f t="shared" si="6"/>
        <v>1420.0079999999998</v>
      </c>
      <c r="I731" s="299"/>
    </row>
    <row r="732" spans="1:9" hidden="1" x14ac:dyDescent="0.3">
      <c r="A732" s="298" t="s">
        <v>1800</v>
      </c>
      <c r="B732" s="298" t="s">
        <v>402</v>
      </c>
      <c r="C732" s="298" t="s">
        <v>1287</v>
      </c>
      <c r="D732" s="298" t="s">
        <v>2457</v>
      </c>
      <c r="E732" s="298">
        <v>4386.91</v>
      </c>
      <c r="F732" s="299">
        <v>5833.3</v>
      </c>
      <c r="G732" s="299">
        <v>3000</v>
      </c>
      <c r="H732" s="299">
        <f t="shared" si="6"/>
        <v>5264.2919999999995</v>
      </c>
      <c r="I732" s="299"/>
    </row>
    <row r="733" spans="1:9" hidden="1" x14ac:dyDescent="0.3">
      <c r="A733" s="298" t="s">
        <v>1802</v>
      </c>
      <c r="B733" s="298" t="s">
        <v>402</v>
      </c>
      <c r="C733" s="298" t="s">
        <v>1287</v>
      </c>
      <c r="D733" s="298" t="s">
        <v>2459</v>
      </c>
      <c r="E733" s="298">
        <v>1892.75</v>
      </c>
      <c r="F733" s="299">
        <v>4166.7</v>
      </c>
      <c r="G733" s="299">
        <v>7000</v>
      </c>
      <c r="H733" s="299">
        <f t="shared" si="6"/>
        <v>2271.3000000000002</v>
      </c>
      <c r="I733" s="299"/>
    </row>
    <row r="734" spans="1:9" hidden="1" x14ac:dyDescent="0.3">
      <c r="A734" s="298" t="s">
        <v>1804</v>
      </c>
      <c r="B734" s="298" t="s">
        <v>2448</v>
      </c>
      <c r="C734" s="298" t="s">
        <v>1287</v>
      </c>
      <c r="D734" s="298" t="s">
        <v>2461</v>
      </c>
      <c r="E734" s="298">
        <v>8375</v>
      </c>
      <c r="F734" s="299">
        <v>9000</v>
      </c>
      <c r="G734" s="299">
        <v>5000</v>
      </c>
      <c r="H734" s="299">
        <f t="shared" si="6"/>
        <v>10050</v>
      </c>
      <c r="I734" s="299"/>
    </row>
    <row r="735" spans="1:9" hidden="1" x14ac:dyDescent="0.3">
      <c r="A735" s="298" t="s">
        <v>1806</v>
      </c>
      <c r="B735" s="298" t="s">
        <v>2448</v>
      </c>
      <c r="C735" s="298" t="s">
        <v>1287</v>
      </c>
      <c r="D735" s="298" t="s">
        <v>2467</v>
      </c>
      <c r="E735" s="298">
        <v>1045</v>
      </c>
      <c r="F735" s="299">
        <v>1750</v>
      </c>
      <c r="G735" s="299">
        <v>10800</v>
      </c>
      <c r="H735" s="299">
        <f t="shared" si="6"/>
        <v>1254</v>
      </c>
      <c r="I735" s="299"/>
    </row>
    <row r="736" spans="1:9" hidden="1" x14ac:dyDescent="0.3">
      <c r="A736" s="298" t="s">
        <v>1808</v>
      </c>
      <c r="B736" s="298" t="s">
        <v>402</v>
      </c>
      <c r="C736" s="298" t="s">
        <v>1287</v>
      </c>
      <c r="D736" s="298" t="s">
        <v>2469</v>
      </c>
      <c r="E736" s="298">
        <v>0</v>
      </c>
      <c r="F736" s="299">
        <v>250</v>
      </c>
      <c r="G736" s="299">
        <v>2100</v>
      </c>
      <c r="H736" s="299">
        <f t="shared" si="6"/>
        <v>0</v>
      </c>
      <c r="I736" s="299"/>
    </row>
    <row r="737" spans="1:9" hidden="1" x14ac:dyDescent="0.3">
      <c r="A737" s="298" t="s">
        <v>1810</v>
      </c>
      <c r="B737" s="298" t="s">
        <v>402</v>
      </c>
      <c r="C737" s="298" t="s">
        <v>1287</v>
      </c>
      <c r="D737" s="298" t="s">
        <v>2471</v>
      </c>
      <c r="E737" s="298">
        <v>0</v>
      </c>
      <c r="F737" s="299">
        <v>250</v>
      </c>
      <c r="G737" s="299">
        <v>300</v>
      </c>
      <c r="H737" s="299">
        <f t="shared" si="6"/>
        <v>0</v>
      </c>
      <c r="I737" s="299"/>
    </row>
    <row r="738" spans="1:9" hidden="1" x14ac:dyDescent="0.3">
      <c r="A738" s="298" t="s">
        <v>1812</v>
      </c>
      <c r="B738" s="298" t="s">
        <v>402</v>
      </c>
      <c r="C738" s="298" t="s">
        <v>1287</v>
      </c>
      <c r="D738" s="298" t="s">
        <v>2475</v>
      </c>
      <c r="E738" s="298">
        <v>1250</v>
      </c>
      <c r="F738" s="299">
        <v>1250</v>
      </c>
      <c r="G738" s="299">
        <v>300</v>
      </c>
      <c r="H738" s="299">
        <f t="shared" ref="H738:H801" si="7">+E738/10*12</f>
        <v>1500</v>
      </c>
      <c r="I738" s="299"/>
    </row>
    <row r="739" spans="1:9" hidden="1" x14ac:dyDescent="0.3">
      <c r="A739" s="298" t="s">
        <v>1814</v>
      </c>
      <c r="B739" s="298" t="s">
        <v>402</v>
      </c>
      <c r="C739" s="298" t="s">
        <v>1287</v>
      </c>
      <c r="D739" s="298" t="s">
        <v>2479</v>
      </c>
      <c r="E739" s="298">
        <v>2575</v>
      </c>
      <c r="F739" s="299">
        <v>2000</v>
      </c>
      <c r="G739" s="299">
        <v>600</v>
      </c>
      <c r="H739" s="299">
        <f t="shared" si="7"/>
        <v>3090</v>
      </c>
      <c r="I739" s="299"/>
    </row>
    <row r="740" spans="1:9" hidden="1" x14ac:dyDescent="0.3">
      <c r="A740" s="298" t="s">
        <v>1816</v>
      </c>
      <c r="B740" s="298" t="s">
        <v>303</v>
      </c>
      <c r="C740" s="298" t="s">
        <v>1287</v>
      </c>
      <c r="D740" s="298" t="s">
        <v>2481</v>
      </c>
      <c r="E740" s="298">
        <v>0</v>
      </c>
      <c r="F740" s="299">
        <v>250</v>
      </c>
      <c r="G740" s="299">
        <v>2400</v>
      </c>
      <c r="H740" s="299">
        <f t="shared" si="7"/>
        <v>0</v>
      </c>
      <c r="I740" s="299"/>
    </row>
    <row r="741" spans="1:9" hidden="1" x14ac:dyDescent="0.3">
      <c r="A741" s="298" t="s">
        <v>1818</v>
      </c>
      <c r="B741" s="298" t="s">
        <v>422</v>
      </c>
      <c r="C741" s="298" t="s">
        <v>1287</v>
      </c>
      <c r="D741" s="298" t="s">
        <v>1387</v>
      </c>
      <c r="E741" s="298">
        <v>819.78</v>
      </c>
      <c r="F741" s="299">
        <v>2500</v>
      </c>
      <c r="G741" s="299">
        <v>3000</v>
      </c>
      <c r="H741" s="299">
        <f t="shared" si="7"/>
        <v>983.73599999999988</v>
      </c>
      <c r="I741" s="299"/>
    </row>
    <row r="742" spans="1:9" hidden="1" x14ac:dyDescent="0.3">
      <c r="A742" s="298" t="s">
        <v>1820</v>
      </c>
      <c r="B742" s="298" t="s">
        <v>251</v>
      </c>
      <c r="C742" s="298" t="s">
        <v>1287</v>
      </c>
      <c r="D742" s="298" t="s">
        <v>1391</v>
      </c>
      <c r="E742" s="298">
        <v>38081.5</v>
      </c>
      <c r="F742" s="299">
        <v>0</v>
      </c>
      <c r="G742" s="299">
        <v>0</v>
      </c>
      <c r="H742" s="299">
        <f t="shared" si="7"/>
        <v>45697.8</v>
      </c>
      <c r="I742" s="299"/>
    </row>
    <row r="743" spans="1:9" hidden="1" x14ac:dyDescent="0.3">
      <c r="A743" s="298" t="s">
        <v>1823</v>
      </c>
      <c r="B743" s="298" t="s">
        <v>1324</v>
      </c>
      <c r="C743" s="298" t="s">
        <v>1287</v>
      </c>
      <c r="D743" s="298" t="s">
        <v>1325</v>
      </c>
      <c r="E743" s="298">
        <v>226.23</v>
      </c>
      <c r="F743" s="299">
        <v>0</v>
      </c>
      <c r="G743" s="299">
        <v>0</v>
      </c>
      <c r="H743" s="299">
        <f t="shared" si="7"/>
        <v>271.476</v>
      </c>
      <c r="I743" s="299"/>
    </row>
    <row r="744" spans="1:9" hidden="1" x14ac:dyDescent="0.3">
      <c r="A744" s="298" t="s">
        <v>1825</v>
      </c>
      <c r="B744" s="298" t="s">
        <v>251</v>
      </c>
      <c r="C744" s="298" t="s">
        <v>1287</v>
      </c>
      <c r="D744" s="298" t="s">
        <v>1866</v>
      </c>
      <c r="E744" s="298">
        <v>2400</v>
      </c>
      <c r="F744" s="299">
        <v>2400</v>
      </c>
      <c r="G744" s="299">
        <v>77418.92</v>
      </c>
      <c r="H744" s="299">
        <f t="shared" si="7"/>
        <v>2880</v>
      </c>
      <c r="I744" s="299"/>
    </row>
    <row r="745" spans="1:9" hidden="1" x14ac:dyDescent="0.3">
      <c r="A745" s="298" t="s">
        <v>1827</v>
      </c>
      <c r="B745" s="298" t="s">
        <v>257</v>
      </c>
      <c r="C745" s="298" t="s">
        <v>1287</v>
      </c>
      <c r="D745" s="298" t="s">
        <v>1868</v>
      </c>
      <c r="E745" s="298">
        <v>1200</v>
      </c>
      <c r="F745" s="299">
        <v>1200</v>
      </c>
      <c r="G745" s="299">
        <v>2400</v>
      </c>
      <c r="H745" s="299">
        <f t="shared" si="7"/>
        <v>1440</v>
      </c>
      <c r="I745" s="299"/>
    </row>
    <row r="746" spans="1:9" hidden="1" x14ac:dyDescent="0.3">
      <c r="A746" s="298" t="s">
        <v>1829</v>
      </c>
      <c r="B746" s="298" t="s">
        <v>1890</v>
      </c>
      <c r="C746" s="298" t="s">
        <v>1287</v>
      </c>
      <c r="D746" s="298" t="s">
        <v>1891</v>
      </c>
      <c r="E746" s="298">
        <v>587.26</v>
      </c>
      <c r="F746" s="299">
        <v>0</v>
      </c>
      <c r="G746" s="299">
        <v>0</v>
      </c>
      <c r="H746" s="299">
        <f t="shared" si="7"/>
        <v>704.71199999999999</v>
      </c>
      <c r="I746" s="299"/>
    </row>
    <row r="747" spans="1:9" hidden="1" x14ac:dyDescent="0.3">
      <c r="A747" s="298" t="s">
        <v>1831</v>
      </c>
      <c r="B747" s="298" t="s">
        <v>247</v>
      </c>
      <c r="C747" s="298" t="s">
        <v>1287</v>
      </c>
      <c r="D747" s="298" t="s">
        <v>1893</v>
      </c>
      <c r="E747" s="298">
        <v>4578.5</v>
      </c>
      <c r="F747" s="299">
        <v>4583.3</v>
      </c>
      <c r="G747" s="299">
        <v>5500</v>
      </c>
      <c r="H747" s="299">
        <f t="shared" si="7"/>
        <v>5494.2000000000007</v>
      </c>
      <c r="I747" s="299"/>
    </row>
    <row r="748" spans="1:9" hidden="1" x14ac:dyDescent="0.3">
      <c r="A748" s="298" t="s">
        <v>1833</v>
      </c>
      <c r="B748" s="298" t="s">
        <v>293</v>
      </c>
      <c r="C748" s="298" t="s">
        <v>2361</v>
      </c>
      <c r="D748" s="298" t="s">
        <v>2430</v>
      </c>
      <c r="E748" s="298">
        <v>519.69000000000005</v>
      </c>
      <c r="F748" s="299">
        <v>0</v>
      </c>
      <c r="G748" s="299">
        <v>0</v>
      </c>
      <c r="H748" s="299">
        <f t="shared" si="7"/>
        <v>623.62800000000016</v>
      </c>
      <c r="I748" s="299"/>
    </row>
    <row r="749" spans="1:9" hidden="1" x14ac:dyDescent="0.3">
      <c r="A749" s="298" t="s">
        <v>1836</v>
      </c>
      <c r="B749" s="298" t="s">
        <v>303</v>
      </c>
      <c r="C749" s="298" t="s">
        <v>1287</v>
      </c>
      <c r="D749" s="298" t="s">
        <v>1918</v>
      </c>
      <c r="E749" s="298">
        <v>4809</v>
      </c>
      <c r="F749" s="299">
        <v>0</v>
      </c>
      <c r="G749" s="299">
        <v>0</v>
      </c>
      <c r="H749" s="299">
        <f t="shared" si="7"/>
        <v>5770.7999999999993</v>
      </c>
      <c r="I749" s="299"/>
    </row>
    <row r="750" spans="1:9" hidden="1" x14ac:dyDescent="0.3">
      <c r="A750" s="298" t="s">
        <v>1838</v>
      </c>
      <c r="B750" s="298" t="s">
        <v>251</v>
      </c>
      <c r="C750" s="298" t="s">
        <v>1287</v>
      </c>
      <c r="D750" s="298" t="s">
        <v>2042</v>
      </c>
      <c r="E750" s="298">
        <v>12706.39</v>
      </c>
      <c r="F750" s="299">
        <v>12500</v>
      </c>
      <c r="G750" s="299">
        <v>15000</v>
      </c>
      <c r="H750" s="299">
        <f t="shared" si="7"/>
        <v>15247.667999999998</v>
      </c>
      <c r="I750" s="299"/>
    </row>
    <row r="751" spans="1:9" hidden="1" x14ac:dyDescent="0.3">
      <c r="A751" s="298" t="s">
        <v>1840</v>
      </c>
      <c r="B751" s="298" t="s">
        <v>257</v>
      </c>
      <c r="C751" s="298" t="s">
        <v>1287</v>
      </c>
      <c r="D751" s="298" t="s">
        <v>2044</v>
      </c>
      <c r="E751" s="298">
        <v>4074.79</v>
      </c>
      <c r="F751" s="299">
        <v>4166.7</v>
      </c>
      <c r="G751" s="299">
        <v>5000</v>
      </c>
      <c r="H751" s="299">
        <f t="shared" si="7"/>
        <v>4889.7479999999996</v>
      </c>
      <c r="I751" s="299"/>
    </row>
    <row r="752" spans="1:9" hidden="1" x14ac:dyDescent="0.3">
      <c r="A752" s="298" t="s">
        <v>1842</v>
      </c>
      <c r="B752" s="298" t="s">
        <v>251</v>
      </c>
      <c r="C752" s="298" t="s">
        <v>1287</v>
      </c>
      <c r="D752" s="298" t="s">
        <v>2127</v>
      </c>
      <c r="E752" s="298">
        <v>3305.79</v>
      </c>
      <c r="F752" s="299">
        <v>3000</v>
      </c>
      <c r="G752" s="299">
        <v>3600</v>
      </c>
      <c r="H752" s="299">
        <f t="shared" si="7"/>
        <v>3966.9480000000003</v>
      </c>
      <c r="I752" s="299"/>
    </row>
    <row r="753" spans="1:9" hidden="1" x14ac:dyDescent="0.3">
      <c r="A753" s="298" t="s">
        <v>1844</v>
      </c>
      <c r="B753" s="298" t="s">
        <v>257</v>
      </c>
      <c r="C753" s="298" t="s">
        <v>1287</v>
      </c>
      <c r="D753" s="298" t="s">
        <v>2129</v>
      </c>
      <c r="E753" s="298">
        <v>1288.1500000000001</v>
      </c>
      <c r="F753" s="299">
        <v>1666.7</v>
      </c>
      <c r="G753" s="299">
        <v>2000</v>
      </c>
      <c r="H753" s="299">
        <f t="shared" si="7"/>
        <v>1545.78</v>
      </c>
      <c r="I753" s="299"/>
    </row>
    <row r="754" spans="1:9" hidden="1" x14ac:dyDescent="0.3">
      <c r="A754" s="298" t="s">
        <v>1847</v>
      </c>
      <c r="B754" s="298" t="s">
        <v>251</v>
      </c>
      <c r="C754" s="298" t="s">
        <v>1287</v>
      </c>
      <c r="D754" s="298" t="s">
        <v>2204</v>
      </c>
      <c r="E754" s="298">
        <v>3147.76</v>
      </c>
      <c r="F754" s="299">
        <v>2916.7</v>
      </c>
      <c r="G754" s="299">
        <v>3500</v>
      </c>
      <c r="H754" s="299">
        <f t="shared" si="7"/>
        <v>3777.3119999999999</v>
      </c>
      <c r="I754" s="299"/>
    </row>
    <row r="755" spans="1:9" hidden="1" x14ac:dyDescent="0.3">
      <c r="A755" s="298" t="s">
        <v>1849</v>
      </c>
      <c r="B755" s="298" t="s">
        <v>257</v>
      </c>
      <c r="C755" s="298" t="s">
        <v>1287</v>
      </c>
      <c r="D755" s="298" t="s">
        <v>2206</v>
      </c>
      <c r="E755" s="298">
        <v>1795.09</v>
      </c>
      <c r="F755" s="299">
        <v>1666.7</v>
      </c>
      <c r="G755" s="299">
        <v>2000</v>
      </c>
      <c r="H755" s="299">
        <f t="shared" si="7"/>
        <v>2154.1079999999997</v>
      </c>
      <c r="I755" s="299"/>
    </row>
    <row r="756" spans="1:9" hidden="1" x14ac:dyDescent="0.3">
      <c r="A756" s="298" t="s">
        <v>1851</v>
      </c>
      <c r="B756" s="298" t="s">
        <v>251</v>
      </c>
      <c r="C756" s="298" t="s">
        <v>1287</v>
      </c>
      <c r="D756" s="298" t="s">
        <v>1508</v>
      </c>
      <c r="E756" s="298">
        <v>8066.29</v>
      </c>
      <c r="F756" s="299">
        <v>10000</v>
      </c>
      <c r="G756" s="299">
        <v>12000</v>
      </c>
      <c r="H756" s="299">
        <f t="shared" si="7"/>
        <v>9679.5480000000007</v>
      </c>
      <c r="I756" s="299"/>
    </row>
    <row r="757" spans="1:9" hidden="1" x14ac:dyDescent="0.3">
      <c r="A757" s="298" t="s">
        <v>1853</v>
      </c>
      <c r="B757" s="298" t="s">
        <v>251</v>
      </c>
      <c r="C757" s="298" t="s">
        <v>1287</v>
      </c>
      <c r="D757" s="298" t="s">
        <v>2289</v>
      </c>
      <c r="E757" s="298">
        <v>21498.560000000001</v>
      </c>
      <c r="F757" s="299">
        <v>0</v>
      </c>
      <c r="G757" s="299">
        <v>0</v>
      </c>
      <c r="H757" s="299">
        <f t="shared" si="7"/>
        <v>25798.272000000004</v>
      </c>
      <c r="I757" s="299"/>
    </row>
    <row r="758" spans="1:9" hidden="1" x14ac:dyDescent="0.3">
      <c r="A758" s="298" t="s">
        <v>1855</v>
      </c>
      <c r="B758" s="298" t="s">
        <v>257</v>
      </c>
      <c r="C758" s="298" t="s">
        <v>1287</v>
      </c>
      <c r="D758" s="298" t="s">
        <v>2291</v>
      </c>
      <c r="E758" s="298">
        <v>38614.160000000003</v>
      </c>
      <c r="F758" s="299">
        <v>1666.7</v>
      </c>
      <c r="G758" s="299">
        <v>0</v>
      </c>
      <c r="H758" s="299">
        <f t="shared" si="7"/>
        <v>46336.991999999998</v>
      </c>
      <c r="I758" s="299"/>
    </row>
    <row r="759" spans="1:9" hidden="1" x14ac:dyDescent="0.3">
      <c r="A759" s="298" t="s">
        <v>1857</v>
      </c>
      <c r="B759" s="298" t="s">
        <v>251</v>
      </c>
      <c r="C759" s="298" t="s">
        <v>1287</v>
      </c>
      <c r="D759" s="298" t="s">
        <v>2370</v>
      </c>
      <c r="E759" s="298">
        <v>1506.02</v>
      </c>
      <c r="F759" s="299">
        <v>0</v>
      </c>
      <c r="H759" s="299">
        <f t="shared" si="7"/>
        <v>1807.2240000000002</v>
      </c>
      <c r="I759" s="299"/>
    </row>
    <row r="760" spans="1:9" hidden="1" x14ac:dyDescent="0.3">
      <c r="A760" s="298" t="s">
        <v>1859</v>
      </c>
      <c r="B760" s="298" t="s">
        <v>257</v>
      </c>
      <c r="C760" s="298" t="s">
        <v>1287</v>
      </c>
      <c r="D760" s="298" t="s">
        <v>2372</v>
      </c>
      <c r="E760" s="298">
        <v>1484.25</v>
      </c>
      <c r="F760" s="299">
        <v>416.7</v>
      </c>
      <c r="H760" s="299">
        <f t="shared" si="7"/>
        <v>1781.1000000000001</v>
      </c>
      <c r="I760" s="299"/>
    </row>
    <row r="761" spans="1:9" hidden="1" x14ac:dyDescent="0.3">
      <c r="A761" s="298" t="s">
        <v>1861</v>
      </c>
      <c r="B761" s="298" t="s">
        <v>402</v>
      </c>
      <c r="C761" s="298" t="s">
        <v>1284</v>
      </c>
      <c r="D761" s="298" t="s">
        <v>2463</v>
      </c>
      <c r="E761" s="298">
        <v>250</v>
      </c>
      <c r="F761" s="299">
        <v>250</v>
      </c>
      <c r="G761" s="299">
        <v>300</v>
      </c>
      <c r="H761" s="299">
        <f t="shared" si="7"/>
        <v>300</v>
      </c>
      <c r="I761" s="299"/>
    </row>
    <row r="762" spans="1:9" hidden="1" x14ac:dyDescent="0.3">
      <c r="A762" s="298" t="s">
        <v>1863</v>
      </c>
      <c r="B762" s="298" t="s">
        <v>2448</v>
      </c>
      <c r="C762" s="298" t="s">
        <v>1284</v>
      </c>
      <c r="D762" s="298" t="s">
        <v>2465</v>
      </c>
      <c r="E762" s="298">
        <v>225</v>
      </c>
      <c r="F762" s="299">
        <v>250</v>
      </c>
      <c r="G762" s="299">
        <v>300</v>
      </c>
      <c r="H762" s="299">
        <f t="shared" si="7"/>
        <v>270</v>
      </c>
      <c r="I762" s="294"/>
    </row>
    <row r="763" spans="1:9" hidden="1" x14ac:dyDescent="0.3">
      <c r="A763" s="298" t="s">
        <v>1865</v>
      </c>
      <c r="B763" s="298" t="s">
        <v>402</v>
      </c>
      <c r="C763" s="298" t="s">
        <v>1284</v>
      </c>
      <c r="D763" s="298" t="s">
        <v>2473</v>
      </c>
      <c r="E763" s="298">
        <v>1100</v>
      </c>
      <c r="F763" s="299">
        <v>1000</v>
      </c>
      <c r="G763" s="299">
        <v>1200</v>
      </c>
      <c r="H763" s="299">
        <f t="shared" si="7"/>
        <v>1320</v>
      </c>
      <c r="I763" s="294"/>
    </row>
    <row r="764" spans="1:9" hidden="1" x14ac:dyDescent="0.3">
      <c r="A764" s="298" t="s">
        <v>1867</v>
      </c>
      <c r="B764" s="298" t="s">
        <v>2448</v>
      </c>
      <c r="C764" s="298" t="s">
        <v>1284</v>
      </c>
      <c r="D764" s="298" t="s">
        <v>2449</v>
      </c>
      <c r="E764" s="298">
        <v>41583.86</v>
      </c>
      <c r="F764" s="299">
        <v>0</v>
      </c>
      <c r="G764" s="299">
        <v>0</v>
      </c>
      <c r="H764" s="299">
        <f t="shared" si="7"/>
        <v>49900.632000000005</v>
      </c>
      <c r="I764" s="299"/>
    </row>
    <row r="765" spans="1:9" hidden="1" x14ac:dyDescent="0.3">
      <c r="A765" s="298" t="s">
        <v>1869</v>
      </c>
      <c r="B765" s="298" t="s">
        <v>402</v>
      </c>
      <c r="C765" s="298" t="s">
        <v>1284</v>
      </c>
      <c r="D765" s="298" t="s">
        <v>2477</v>
      </c>
      <c r="E765" s="298">
        <v>500</v>
      </c>
      <c r="F765" s="299">
        <v>500</v>
      </c>
      <c r="G765" s="299">
        <v>1500</v>
      </c>
      <c r="H765" s="299">
        <f t="shared" si="7"/>
        <v>600</v>
      </c>
      <c r="I765" s="299"/>
    </row>
    <row r="766" spans="1:9" hidden="1" x14ac:dyDescent="0.3">
      <c r="A766" s="298" t="s">
        <v>1871</v>
      </c>
      <c r="B766" s="298" t="s">
        <v>422</v>
      </c>
      <c r="C766" s="298" t="s">
        <v>1284</v>
      </c>
      <c r="D766" s="298" t="s">
        <v>1385</v>
      </c>
      <c r="E766" s="298">
        <v>2787.66</v>
      </c>
      <c r="F766" s="299">
        <v>2500</v>
      </c>
      <c r="G766" s="299">
        <v>0</v>
      </c>
      <c r="H766" s="299">
        <f t="shared" si="7"/>
        <v>3345.1919999999996</v>
      </c>
      <c r="I766" s="299"/>
    </row>
    <row r="767" spans="1:9" hidden="1" x14ac:dyDescent="0.3">
      <c r="A767" s="298" t="s">
        <v>1873</v>
      </c>
      <c r="B767" s="298" t="s">
        <v>454</v>
      </c>
      <c r="C767" s="298" t="s">
        <v>1284</v>
      </c>
      <c r="D767" s="298" t="s">
        <v>1285</v>
      </c>
      <c r="E767" s="298">
        <v>1164.71</v>
      </c>
      <c r="F767" s="299">
        <v>4166.7</v>
      </c>
      <c r="G767" s="299">
        <v>5000</v>
      </c>
      <c r="H767" s="299">
        <f t="shared" si="7"/>
        <v>1397.652</v>
      </c>
      <c r="I767" s="299"/>
    </row>
    <row r="768" spans="1:9" hidden="1" x14ac:dyDescent="0.3">
      <c r="A768" s="298" t="s">
        <v>1875</v>
      </c>
      <c r="B768" s="298" t="s">
        <v>247</v>
      </c>
      <c r="C768" s="298" t="s">
        <v>1515</v>
      </c>
      <c r="D768" s="298" t="s">
        <v>1516</v>
      </c>
      <c r="E768" s="298">
        <v>0</v>
      </c>
      <c r="F768" s="299">
        <v>750</v>
      </c>
      <c r="G768" s="299">
        <v>23538</v>
      </c>
      <c r="H768" s="299">
        <f t="shared" si="7"/>
        <v>0</v>
      </c>
      <c r="I768" s="299"/>
    </row>
    <row r="769" spans="1:9" hidden="1" x14ac:dyDescent="0.3">
      <c r="A769" s="298" t="s">
        <v>1877</v>
      </c>
      <c r="B769" s="298" t="s">
        <v>257</v>
      </c>
      <c r="C769" s="298" t="s">
        <v>1515</v>
      </c>
      <c r="D769" s="298" t="s">
        <v>1518</v>
      </c>
      <c r="E769" s="298">
        <v>599.48</v>
      </c>
      <c r="F769" s="299">
        <v>1500</v>
      </c>
      <c r="G769" s="299">
        <v>133326</v>
      </c>
      <c r="H769" s="299">
        <f t="shared" si="7"/>
        <v>719.37599999999998</v>
      </c>
      <c r="I769" s="299"/>
    </row>
    <row r="770" spans="1:9" hidden="1" x14ac:dyDescent="0.3">
      <c r="A770" s="298" t="s">
        <v>1880</v>
      </c>
      <c r="B770" s="298" t="s">
        <v>497</v>
      </c>
      <c r="C770" s="298" t="s">
        <v>1515</v>
      </c>
      <c r="D770" s="298" t="s">
        <v>1520</v>
      </c>
      <c r="E770" s="298">
        <v>1482.36</v>
      </c>
      <c r="F770" s="299">
        <v>800</v>
      </c>
      <c r="G770" s="299">
        <v>900</v>
      </c>
      <c r="H770" s="299">
        <f t="shared" si="7"/>
        <v>1778.8319999999999</v>
      </c>
      <c r="I770" s="299"/>
    </row>
    <row r="771" spans="1:9" hidden="1" x14ac:dyDescent="0.3">
      <c r="A771" s="298" t="s">
        <v>1883</v>
      </c>
      <c r="B771" s="298" t="s">
        <v>1522</v>
      </c>
      <c r="C771" s="298" t="s">
        <v>1515</v>
      </c>
      <c r="D771" s="298" t="s">
        <v>1523</v>
      </c>
      <c r="E771" s="298">
        <v>363.74</v>
      </c>
      <c r="F771" s="299">
        <v>400</v>
      </c>
      <c r="G771" s="299">
        <v>1800</v>
      </c>
      <c r="H771" s="299">
        <f t="shared" si="7"/>
        <v>436.48800000000006</v>
      </c>
      <c r="I771" s="299"/>
    </row>
    <row r="772" spans="1:9" hidden="1" x14ac:dyDescent="0.3">
      <c r="A772" s="298" t="s">
        <v>1885</v>
      </c>
      <c r="B772" s="298" t="s">
        <v>524</v>
      </c>
      <c r="C772" s="298" t="s">
        <v>1515</v>
      </c>
      <c r="D772" s="298" t="s">
        <v>1525</v>
      </c>
      <c r="E772" s="298">
        <v>525</v>
      </c>
      <c r="F772" s="299">
        <v>500</v>
      </c>
      <c r="G772" s="299">
        <v>960</v>
      </c>
      <c r="H772" s="299">
        <f t="shared" si="7"/>
        <v>630</v>
      </c>
      <c r="I772" s="299"/>
    </row>
    <row r="773" spans="1:9" hidden="1" x14ac:dyDescent="0.3">
      <c r="A773" s="298" t="s">
        <v>1886</v>
      </c>
      <c r="B773" s="298" t="s">
        <v>280</v>
      </c>
      <c r="C773" s="298" t="s">
        <v>1515</v>
      </c>
      <c r="D773" s="298" t="s">
        <v>1527</v>
      </c>
      <c r="E773" s="298">
        <v>1624.3</v>
      </c>
      <c r="F773" s="299">
        <v>600</v>
      </c>
      <c r="G773" s="299">
        <v>480</v>
      </c>
      <c r="H773" s="299">
        <f t="shared" si="7"/>
        <v>1949.16</v>
      </c>
      <c r="I773" s="299"/>
    </row>
    <row r="774" spans="1:9" hidden="1" x14ac:dyDescent="0.3">
      <c r="A774" s="298" t="s">
        <v>1889</v>
      </c>
      <c r="B774" s="298" t="s">
        <v>280</v>
      </c>
      <c r="C774" s="298" t="s">
        <v>1515</v>
      </c>
      <c r="D774" s="298" t="s">
        <v>1529</v>
      </c>
      <c r="E774" s="298">
        <v>784.2</v>
      </c>
      <c r="F774" s="299">
        <v>600</v>
      </c>
      <c r="G774" s="299">
        <v>600</v>
      </c>
      <c r="H774" s="299">
        <f t="shared" si="7"/>
        <v>941.04</v>
      </c>
      <c r="I774" s="299"/>
    </row>
    <row r="775" spans="1:9" hidden="1" x14ac:dyDescent="0.3">
      <c r="A775" s="298" t="s">
        <v>1892</v>
      </c>
      <c r="B775" s="298" t="s">
        <v>280</v>
      </c>
      <c r="C775" s="298" t="s">
        <v>1515</v>
      </c>
      <c r="D775" s="298" t="s">
        <v>1531</v>
      </c>
      <c r="E775" s="298">
        <v>1755.09</v>
      </c>
      <c r="F775" s="299">
        <v>600</v>
      </c>
      <c r="G775" s="299">
        <v>720</v>
      </c>
      <c r="H775" s="299">
        <f t="shared" si="7"/>
        <v>2106.1079999999997</v>
      </c>
      <c r="I775" s="299"/>
    </row>
    <row r="776" spans="1:9" hidden="1" x14ac:dyDescent="0.3">
      <c r="A776" s="298" t="s">
        <v>1894</v>
      </c>
      <c r="B776" s="298" t="s">
        <v>280</v>
      </c>
      <c r="C776" s="298" t="s">
        <v>1515</v>
      </c>
      <c r="D776" s="298" t="s">
        <v>1533</v>
      </c>
      <c r="E776" s="298">
        <v>653.12</v>
      </c>
      <c r="F776" s="299">
        <v>700</v>
      </c>
      <c r="G776" s="299">
        <v>720</v>
      </c>
      <c r="H776" s="299">
        <f t="shared" si="7"/>
        <v>783.74399999999991</v>
      </c>
      <c r="I776" s="299"/>
    </row>
    <row r="777" spans="1:9" hidden="1" x14ac:dyDescent="0.3">
      <c r="A777" s="298" t="s">
        <v>1896</v>
      </c>
      <c r="B777" s="298" t="s">
        <v>303</v>
      </c>
      <c r="C777" s="298" t="s">
        <v>1515</v>
      </c>
      <c r="D777" s="298" t="s">
        <v>1535</v>
      </c>
      <c r="E777" s="298">
        <v>912.53</v>
      </c>
      <c r="F777" s="299">
        <v>600</v>
      </c>
      <c r="G777" s="299">
        <v>720</v>
      </c>
      <c r="H777" s="299">
        <f t="shared" si="7"/>
        <v>1095.0360000000001</v>
      </c>
      <c r="I777" s="299"/>
    </row>
    <row r="778" spans="1:9" hidden="1" x14ac:dyDescent="0.3">
      <c r="A778" s="298" t="s">
        <v>1899</v>
      </c>
      <c r="B778" s="298" t="s">
        <v>558</v>
      </c>
      <c r="C778" s="298" t="s">
        <v>1515</v>
      </c>
      <c r="D778" s="298" t="s">
        <v>1537</v>
      </c>
      <c r="E778" s="298">
        <v>397.17</v>
      </c>
      <c r="F778" s="299">
        <v>700</v>
      </c>
      <c r="G778" s="299">
        <v>840</v>
      </c>
      <c r="H778" s="299">
        <f t="shared" si="7"/>
        <v>476.60399999999998</v>
      </c>
      <c r="I778" s="299"/>
    </row>
    <row r="779" spans="1:9" hidden="1" x14ac:dyDescent="0.3">
      <c r="A779" s="298" t="s">
        <v>1901</v>
      </c>
      <c r="B779" s="298" t="s">
        <v>1430</v>
      </c>
      <c r="C779" s="298" t="s">
        <v>1515</v>
      </c>
      <c r="D779" s="298" t="s">
        <v>1539</v>
      </c>
      <c r="E779" s="298">
        <v>17730.96</v>
      </c>
      <c r="F779" s="299">
        <v>12500</v>
      </c>
      <c r="G779" s="299">
        <v>720</v>
      </c>
      <c r="H779" s="299">
        <f t="shared" si="7"/>
        <v>21277.152000000002</v>
      </c>
      <c r="I779" s="299"/>
    </row>
    <row r="780" spans="1:9" hidden="1" x14ac:dyDescent="0.3">
      <c r="A780" s="298" t="s">
        <v>1903</v>
      </c>
      <c r="B780" s="298" t="s">
        <v>1430</v>
      </c>
      <c r="C780" s="298" t="s">
        <v>1515</v>
      </c>
      <c r="D780" s="298" t="s">
        <v>1541</v>
      </c>
      <c r="E780" s="298">
        <v>2869.6</v>
      </c>
      <c r="F780" s="299">
        <v>3333.3</v>
      </c>
      <c r="G780" s="299">
        <v>840</v>
      </c>
      <c r="H780" s="299">
        <f t="shared" si="7"/>
        <v>3443.5199999999995</v>
      </c>
      <c r="I780" s="299"/>
    </row>
    <row r="781" spans="1:9" hidden="1" x14ac:dyDescent="0.3">
      <c r="A781" s="298" t="s">
        <v>1905</v>
      </c>
      <c r="B781" s="298" t="s">
        <v>1423</v>
      </c>
      <c r="C781" s="298" t="s">
        <v>1515</v>
      </c>
      <c r="D781" s="298" t="s">
        <v>1543</v>
      </c>
      <c r="E781" s="298">
        <v>11314.44</v>
      </c>
      <c r="F781" s="299">
        <v>6666.7</v>
      </c>
      <c r="G781" s="299">
        <v>15000</v>
      </c>
      <c r="H781" s="299">
        <f t="shared" si="7"/>
        <v>13577.328</v>
      </c>
      <c r="I781" s="299"/>
    </row>
    <row r="782" spans="1:9" hidden="1" x14ac:dyDescent="0.3">
      <c r="A782" s="298" t="s">
        <v>1907</v>
      </c>
      <c r="B782" s="298" t="s">
        <v>1430</v>
      </c>
      <c r="C782" s="298" t="s">
        <v>1515</v>
      </c>
      <c r="D782" s="298" t="s">
        <v>1545</v>
      </c>
      <c r="E782" s="298">
        <v>3475.94</v>
      </c>
      <c r="F782" s="299">
        <v>1250</v>
      </c>
      <c r="G782" s="299">
        <v>4000</v>
      </c>
      <c r="H782" s="299">
        <f t="shared" si="7"/>
        <v>4171.1279999999997</v>
      </c>
      <c r="I782" s="299"/>
    </row>
    <row r="783" spans="1:9" hidden="1" x14ac:dyDescent="0.3">
      <c r="A783" s="298" t="s">
        <v>1909</v>
      </c>
      <c r="B783" s="298" t="s">
        <v>251</v>
      </c>
      <c r="C783" s="298" t="s">
        <v>1515</v>
      </c>
      <c r="D783" s="298" t="s">
        <v>1547</v>
      </c>
      <c r="E783" s="298">
        <v>2115.7800000000002</v>
      </c>
      <c r="F783" s="299">
        <v>2083.3000000000002</v>
      </c>
      <c r="G783" s="299">
        <v>2500</v>
      </c>
      <c r="H783" s="299">
        <f t="shared" si="7"/>
        <v>2538.9360000000006</v>
      </c>
      <c r="I783" s="299"/>
    </row>
    <row r="784" spans="1:9" hidden="1" x14ac:dyDescent="0.3">
      <c r="A784" s="298" t="s">
        <v>1911</v>
      </c>
      <c r="B784" s="298" t="s">
        <v>280</v>
      </c>
      <c r="C784" s="298" t="s">
        <v>1515</v>
      </c>
      <c r="D784" s="298" t="s">
        <v>1549</v>
      </c>
      <c r="E784" s="298">
        <v>1363.75</v>
      </c>
      <c r="F784" s="299">
        <v>750</v>
      </c>
      <c r="G784" s="299">
        <v>900</v>
      </c>
      <c r="H784" s="299">
        <f t="shared" si="7"/>
        <v>1636.5</v>
      </c>
      <c r="I784" s="299"/>
    </row>
    <row r="785" spans="1:11" hidden="1" x14ac:dyDescent="0.3">
      <c r="A785" s="298" t="s">
        <v>1913</v>
      </c>
      <c r="B785" s="298" t="s">
        <v>280</v>
      </c>
      <c r="C785" s="298" t="s">
        <v>1515</v>
      </c>
      <c r="D785" s="298" t="s">
        <v>1551</v>
      </c>
      <c r="E785" s="298">
        <v>589.38</v>
      </c>
      <c r="F785" s="299">
        <v>600</v>
      </c>
      <c r="G785" s="299">
        <v>720</v>
      </c>
      <c r="H785" s="299">
        <f t="shared" si="7"/>
        <v>707.25600000000009</v>
      </c>
      <c r="I785" s="299"/>
    </row>
    <row r="786" spans="1:11" hidden="1" x14ac:dyDescent="0.3">
      <c r="A786" s="298" t="s">
        <v>1915</v>
      </c>
      <c r="B786" s="298" t="s">
        <v>280</v>
      </c>
      <c r="C786" s="298" t="s">
        <v>1515</v>
      </c>
      <c r="D786" s="298" t="s">
        <v>1553</v>
      </c>
      <c r="E786" s="298">
        <v>1386.78</v>
      </c>
      <c r="F786" s="299">
        <v>1250</v>
      </c>
      <c r="G786" s="299">
        <v>1500</v>
      </c>
      <c r="H786" s="299">
        <f t="shared" si="7"/>
        <v>1664.136</v>
      </c>
      <c r="I786" s="299"/>
    </row>
    <row r="787" spans="1:11" hidden="1" x14ac:dyDescent="0.3">
      <c r="A787" s="298" t="s">
        <v>1917</v>
      </c>
      <c r="B787" s="298" t="s">
        <v>280</v>
      </c>
      <c r="C787" s="298" t="s">
        <v>1515</v>
      </c>
      <c r="D787" s="298" t="s">
        <v>1555</v>
      </c>
      <c r="E787" s="298">
        <v>421.5</v>
      </c>
      <c r="F787" s="299">
        <v>1666.7</v>
      </c>
      <c r="G787" s="299">
        <v>2000</v>
      </c>
      <c r="H787" s="299">
        <f t="shared" si="7"/>
        <v>505.79999999999995</v>
      </c>
      <c r="I787" s="299"/>
    </row>
    <row r="788" spans="1:11" hidden="1" x14ac:dyDescent="0.3">
      <c r="A788" s="298" t="s">
        <v>1919</v>
      </c>
      <c r="B788" s="298" t="s">
        <v>280</v>
      </c>
      <c r="C788" s="298" t="s">
        <v>1515</v>
      </c>
      <c r="D788" s="298" t="s">
        <v>1557</v>
      </c>
      <c r="E788" s="298">
        <v>1215.3399999999999</v>
      </c>
      <c r="F788" s="299">
        <v>1416.7</v>
      </c>
      <c r="G788" s="299">
        <v>1700</v>
      </c>
      <c r="H788" s="299">
        <f t="shared" si="7"/>
        <v>1458.4079999999999</v>
      </c>
      <c r="I788" s="299"/>
    </row>
    <row r="789" spans="1:11" hidden="1" x14ac:dyDescent="0.3">
      <c r="A789" s="298" t="s">
        <v>1921</v>
      </c>
      <c r="B789" s="298" t="s">
        <v>280</v>
      </c>
      <c r="C789" s="298" t="s">
        <v>1515</v>
      </c>
      <c r="D789" s="298" t="s">
        <v>1559</v>
      </c>
      <c r="E789" s="298">
        <v>932.43</v>
      </c>
      <c r="F789" s="299">
        <v>1000</v>
      </c>
      <c r="G789" s="299">
        <v>1200</v>
      </c>
      <c r="H789" s="299">
        <f t="shared" si="7"/>
        <v>1118.9159999999999</v>
      </c>
      <c r="I789" s="299"/>
    </row>
    <row r="790" spans="1:11" hidden="1" x14ac:dyDescent="0.3">
      <c r="A790" s="298" t="s">
        <v>1923</v>
      </c>
      <c r="B790" s="298" t="s">
        <v>280</v>
      </c>
      <c r="C790" s="298" t="s">
        <v>1515</v>
      </c>
      <c r="D790" s="298" t="s">
        <v>1561</v>
      </c>
      <c r="E790" s="298">
        <v>276.51</v>
      </c>
      <c r="F790" s="299">
        <v>350</v>
      </c>
      <c r="G790" s="299">
        <v>420</v>
      </c>
      <c r="H790" s="299">
        <f t="shared" si="7"/>
        <v>331.81200000000001</v>
      </c>
      <c r="I790" s="299"/>
    </row>
    <row r="791" spans="1:11" hidden="1" x14ac:dyDescent="0.3">
      <c r="A791" s="298" t="s">
        <v>1925</v>
      </c>
      <c r="B791" s="298" t="s">
        <v>280</v>
      </c>
      <c r="C791" s="298" t="s">
        <v>1515</v>
      </c>
      <c r="D791" s="298" t="s">
        <v>1563</v>
      </c>
      <c r="E791" s="298">
        <v>200.93</v>
      </c>
      <c r="F791" s="299">
        <v>200</v>
      </c>
      <c r="G791" s="299">
        <v>240</v>
      </c>
      <c r="H791" s="299">
        <f t="shared" si="7"/>
        <v>241.11599999999999</v>
      </c>
      <c r="I791" s="299"/>
    </row>
    <row r="792" spans="1:11" hidden="1" x14ac:dyDescent="0.3">
      <c r="A792" s="298" t="s">
        <v>1929</v>
      </c>
      <c r="B792" s="298" t="s">
        <v>422</v>
      </c>
      <c r="C792" s="298" t="s">
        <v>1515</v>
      </c>
      <c r="D792" s="298" t="s">
        <v>1640</v>
      </c>
      <c r="E792" s="298">
        <v>68857.570000000007</v>
      </c>
      <c r="F792" s="299">
        <v>70000</v>
      </c>
      <c r="G792" s="299">
        <v>84000</v>
      </c>
      <c r="H792" s="299">
        <f t="shared" si="7"/>
        <v>82629.084000000003</v>
      </c>
      <c r="I792" s="299"/>
    </row>
    <row r="793" spans="1:11" hidden="1" x14ac:dyDescent="0.3">
      <c r="A793" s="298" t="s">
        <v>1931</v>
      </c>
      <c r="B793" s="298" t="s">
        <v>1661</v>
      </c>
      <c r="C793" s="298" t="s">
        <v>1662</v>
      </c>
      <c r="D793" s="298" t="s">
        <v>1663</v>
      </c>
      <c r="E793" s="298">
        <v>380.85</v>
      </c>
      <c r="F793" s="299">
        <v>5833.3</v>
      </c>
      <c r="G793" s="299">
        <v>7000</v>
      </c>
      <c r="H793" s="299">
        <f t="shared" si="7"/>
        <v>457.02</v>
      </c>
      <c r="I793" s="299"/>
      <c r="K793" t="s">
        <v>2725</v>
      </c>
    </row>
    <row r="794" spans="1:11" hidden="1" x14ac:dyDescent="0.3">
      <c r="A794" s="298" t="s">
        <v>1933</v>
      </c>
      <c r="B794" s="298" t="s">
        <v>422</v>
      </c>
      <c r="C794" s="298" t="s">
        <v>1662</v>
      </c>
      <c r="D794" s="298" t="s">
        <v>1665</v>
      </c>
      <c r="E794" s="298">
        <v>1321.85</v>
      </c>
      <c r="F794" s="299">
        <v>0</v>
      </c>
      <c r="G794" s="299">
        <v>0</v>
      </c>
      <c r="H794" s="299">
        <f t="shared" si="7"/>
        <v>1586.22</v>
      </c>
      <c r="I794" s="299"/>
    </row>
    <row r="795" spans="1:11" hidden="1" x14ac:dyDescent="0.3">
      <c r="A795" s="298" t="s">
        <v>1936</v>
      </c>
      <c r="B795" s="298" t="s">
        <v>422</v>
      </c>
      <c r="C795" s="298" t="s">
        <v>1662</v>
      </c>
      <c r="D795" s="298" t="s">
        <v>106</v>
      </c>
      <c r="E795" s="298">
        <v>10333.450000000001</v>
      </c>
      <c r="F795" s="299">
        <v>5000</v>
      </c>
      <c r="G795" s="299">
        <v>6000</v>
      </c>
      <c r="H795" s="299">
        <f t="shared" si="7"/>
        <v>12400.14</v>
      </c>
      <c r="I795" s="299"/>
    </row>
    <row r="796" spans="1:11" hidden="1" x14ac:dyDescent="0.3">
      <c r="A796" s="298" t="s">
        <v>1938</v>
      </c>
      <c r="B796" s="298" t="s">
        <v>473</v>
      </c>
      <c r="C796" s="298" t="s">
        <v>1662</v>
      </c>
      <c r="D796" s="298" t="s">
        <v>1668</v>
      </c>
      <c r="E796" s="298">
        <v>328.43</v>
      </c>
      <c r="F796" s="299">
        <v>0</v>
      </c>
      <c r="G796" s="299">
        <v>0</v>
      </c>
      <c r="H796" s="299">
        <f t="shared" si="7"/>
        <v>394.11600000000004</v>
      </c>
      <c r="I796" s="299"/>
    </row>
    <row r="797" spans="1:11" hidden="1" x14ac:dyDescent="0.3">
      <c r="A797" s="298" t="s">
        <v>1940</v>
      </c>
      <c r="B797" s="298" t="s">
        <v>422</v>
      </c>
      <c r="C797" s="298" t="s">
        <v>1662</v>
      </c>
      <c r="D797" s="298" t="s">
        <v>1672</v>
      </c>
      <c r="E797" s="298">
        <v>1407.62</v>
      </c>
      <c r="F797" s="299">
        <v>0</v>
      </c>
      <c r="G797" s="299">
        <v>0</v>
      </c>
      <c r="H797" s="299">
        <f t="shared" si="7"/>
        <v>1689.144</v>
      </c>
      <c r="I797" s="299"/>
    </row>
    <row r="798" spans="1:11" hidden="1" x14ac:dyDescent="0.3">
      <c r="A798" s="298" t="s">
        <v>1942</v>
      </c>
      <c r="B798" s="298" t="s">
        <v>508</v>
      </c>
      <c r="C798" s="298" t="s">
        <v>1662</v>
      </c>
      <c r="D798" s="298" t="s">
        <v>1674</v>
      </c>
      <c r="E798" s="298">
        <v>3118.2</v>
      </c>
      <c r="F798" s="299">
        <v>0</v>
      </c>
      <c r="G798" s="299">
        <v>0</v>
      </c>
      <c r="H798" s="299">
        <f t="shared" si="7"/>
        <v>3741.84</v>
      </c>
      <c r="I798" s="299"/>
    </row>
    <row r="799" spans="1:11" hidden="1" x14ac:dyDescent="0.3">
      <c r="A799" s="298" t="s">
        <v>1944</v>
      </c>
      <c r="B799" s="298" t="s">
        <v>511</v>
      </c>
      <c r="C799" s="298" t="s">
        <v>1662</v>
      </c>
      <c r="D799" s="298" t="s">
        <v>1676</v>
      </c>
      <c r="E799" s="298">
        <v>400</v>
      </c>
      <c r="F799" s="299">
        <v>0</v>
      </c>
      <c r="G799" s="299">
        <v>0</v>
      </c>
      <c r="H799" s="299">
        <f t="shared" si="7"/>
        <v>480</v>
      </c>
      <c r="I799" s="299"/>
    </row>
    <row r="800" spans="1:11" hidden="1" x14ac:dyDescent="0.3">
      <c r="A800" s="298" t="s">
        <v>1946</v>
      </c>
      <c r="B800" s="298" t="s">
        <v>422</v>
      </c>
      <c r="C800" s="298" t="s">
        <v>1662</v>
      </c>
      <c r="D800" s="298" t="s">
        <v>1678</v>
      </c>
      <c r="E800" s="298">
        <v>652</v>
      </c>
      <c r="F800" s="299">
        <v>0</v>
      </c>
      <c r="G800" s="299">
        <v>0</v>
      </c>
      <c r="H800" s="299">
        <f t="shared" si="7"/>
        <v>782.40000000000009</v>
      </c>
      <c r="I800" s="299"/>
    </row>
    <row r="801" spans="1:9" hidden="1" x14ac:dyDescent="0.3">
      <c r="A801" s="298" t="s">
        <v>1948</v>
      </c>
      <c r="B801" s="298" t="s">
        <v>280</v>
      </c>
      <c r="C801" s="298" t="s">
        <v>1662</v>
      </c>
      <c r="D801" s="298" t="s">
        <v>1680</v>
      </c>
      <c r="E801" s="298">
        <v>1877.32</v>
      </c>
      <c r="F801" s="299">
        <v>0</v>
      </c>
      <c r="G801" s="299">
        <v>0</v>
      </c>
      <c r="H801" s="299">
        <f t="shared" si="7"/>
        <v>2252.7840000000001</v>
      </c>
      <c r="I801" s="299"/>
    </row>
    <row r="802" spans="1:9" x14ac:dyDescent="0.3">
      <c r="A802" s="298" t="s">
        <v>1952</v>
      </c>
      <c r="B802" s="298" t="s">
        <v>287</v>
      </c>
      <c r="C802" s="298" t="s">
        <v>1662</v>
      </c>
      <c r="D802" s="298" t="s">
        <v>1682</v>
      </c>
      <c r="E802" s="298">
        <v>12608.38</v>
      </c>
      <c r="F802" s="299">
        <v>0</v>
      </c>
      <c r="G802" s="299">
        <v>0</v>
      </c>
      <c r="H802" s="299">
        <f t="shared" ref="H802:H865" si="8">+E802/10*12</f>
        <v>15130.056</v>
      </c>
      <c r="I802" s="299"/>
    </row>
    <row r="803" spans="1:9" hidden="1" x14ac:dyDescent="0.3">
      <c r="A803" s="298" t="s">
        <v>1954</v>
      </c>
      <c r="B803" s="298" t="s">
        <v>1684</v>
      </c>
      <c r="C803" s="298" t="s">
        <v>1662</v>
      </c>
      <c r="D803" s="298" t="s">
        <v>1685</v>
      </c>
      <c r="E803" s="298">
        <v>1707.72</v>
      </c>
      <c r="F803" s="299">
        <v>0</v>
      </c>
      <c r="G803" s="299">
        <v>0</v>
      </c>
      <c r="H803" s="299">
        <f t="shared" si="8"/>
        <v>2049.2640000000001</v>
      </c>
      <c r="I803" s="299"/>
    </row>
    <row r="804" spans="1:9" hidden="1" x14ac:dyDescent="0.3">
      <c r="A804" s="298" t="s">
        <v>1956</v>
      </c>
      <c r="B804" s="298" t="s">
        <v>290</v>
      </c>
      <c r="C804" s="298" t="s">
        <v>1662</v>
      </c>
      <c r="D804" s="298" t="s">
        <v>1687</v>
      </c>
      <c r="E804" s="298">
        <v>151.1</v>
      </c>
      <c r="F804" s="299">
        <v>0</v>
      </c>
      <c r="G804" s="299">
        <v>0</v>
      </c>
      <c r="H804" s="299">
        <f t="shared" si="8"/>
        <v>181.32</v>
      </c>
      <c r="I804" s="299"/>
    </row>
    <row r="805" spans="1:9" hidden="1" x14ac:dyDescent="0.3">
      <c r="A805" s="298" t="s">
        <v>1958</v>
      </c>
      <c r="B805" s="298" t="s">
        <v>293</v>
      </c>
      <c r="C805" s="298" t="s">
        <v>1662</v>
      </c>
      <c r="D805" s="298" t="s">
        <v>1689</v>
      </c>
      <c r="E805" s="298">
        <v>50</v>
      </c>
      <c r="F805" s="299">
        <v>0</v>
      </c>
      <c r="G805" s="299">
        <v>0</v>
      </c>
      <c r="H805" s="299">
        <f t="shared" si="8"/>
        <v>60</v>
      </c>
      <c r="I805" s="299"/>
    </row>
    <row r="806" spans="1:9" hidden="1" x14ac:dyDescent="0.3">
      <c r="A806" s="298" t="s">
        <v>1960</v>
      </c>
      <c r="B806" s="298" t="s">
        <v>422</v>
      </c>
      <c r="C806" s="298" t="s">
        <v>1662</v>
      </c>
      <c r="D806" s="298" t="s">
        <v>1691</v>
      </c>
      <c r="E806" s="298">
        <v>61152</v>
      </c>
      <c r="F806" s="299">
        <v>4166.7</v>
      </c>
      <c r="G806" s="299">
        <v>5000</v>
      </c>
      <c r="H806" s="299">
        <f t="shared" si="8"/>
        <v>73382.399999999994</v>
      </c>
      <c r="I806" s="299"/>
    </row>
    <row r="807" spans="1:9" hidden="1" x14ac:dyDescent="0.3">
      <c r="A807" s="298" t="s">
        <v>1962</v>
      </c>
      <c r="B807" s="298" t="s">
        <v>422</v>
      </c>
      <c r="C807" s="298" t="s">
        <v>1662</v>
      </c>
      <c r="D807" s="298" t="s">
        <v>1693</v>
      </c>
      <c r="E807" s="298">
        <v>0</v>
      </c>
      <c r="F807" s="299">
        <v>1666.7</v>
      </c>
      <c r="G807" s="299">
        <v>2000</v>
      </c>
      <c r="H807" s="299">
        <f t="shared" si="8"/>
        <v>0</v>
      </c>
      <c r="I807" s="299"/>
    </row>
    <row r="808" spans="1:9" hidden="1" x14ac:dyDescent="0.3">
      <c r="A808" s="298" t="s">
        <v>1964</v>
      </c>
      <c r="B808" s="298" t="s">
        <v>465</v>
      </c>
      <c r="C808" s="298" t="s">
        <v>1720</v>
      </c>
      <c r="D808" s="298" t="s">
        <v>1721</v>
      </c>
      <c r="E808" s="298">
        <v>7397.85</v>
      </c>
      <c r="F808" s="299">
        <v>8333.2999999999993</v>
      </c>
      <c r="G808" s="299">
        <v>10000</v>
      </c>
      <c r="H808" s="299">
        <f t="shared" si="8"/>
        <v>8877.4200000000019</v>
      </c>
      <c r="I808" s="299"/>
    </row>
    <row r="809" spans="1:9" hidden="1" x14ac:dyDescent="0.3">
      <c r="A809" s="298" t="s">
        <v>1966</v>
      </c>
      <c r="B809" s="298" t="s">
        <v>490</v>
      </c>
      <c r="C809" s="298" t="s">
        <v>1720</v>
      </c>
      <c r="D809" s="298" t="s">
        <v>1723</v>
      </c>
      <c r="E809" s="298">
        <v>4138.6000000000004</v>
      </c>
      <c r="F809" s="299">
        <v>4166.7</v>
      </c>
      <c r="G809" s="299">
        <v>5000</v>
      </c>
      <c r="H809" s="299">
        <f t="shared" si="8"/>
        <v>4966.32</v>
      </c>
      <c r="I809" s="299"/>
    </row>
    <row r="810" spans="1:9" hidden="1" x14ac:dyDescent="0.3">
      <c r="A810" s="298" t="s">
        <v>1968</v>
      </c>
      <c r="B810" s="298" t="s">
        <v>412</v>
      </c>
      <c r="C810" s="298" t="s">
        <v>1720</v>
      </c>
      <c r="D810" s="298" t="s">
        <v>1725</v>
      </c>
      <c r="E810" s="298">
        <v>239.89</v>
      </c>
      <c r="F810" s="299">
        <v>1250</v>
      </c>
      <c r="G810" s="299">
        <v>1500</v>
      </c>
      <c r="H810" s="299">
        <f t="shared" si="8"/>
        <v>287.86799999999994</v>
      </c>
      <c r="I810" s="299"/>
    </row>
    <row r="811" spans="1:9" hidden="1" x14ac:dyDescent="0.3">
      <c r="A811" s="298" t="s">
        <v>1970</v>
      </c>
      <c r="B811" s="298" t="s">
        <v>490</v>
      </c>
      <c r="C811" s="298" t="s">
        <v>1720</v>
      </c>
      <c r="D811" s="298" t="s">
        <v>1731</v>
      </c>
      <c r="E811" s="298">
        <v>3104.32</v>
      </c>
      <c r="F811" s="299">
        <v>4166.7</v>
      </c>
      <c r="G811" s="299">
        <v>5000</v>
      </c>
      <c r="H811" s="299">
        <f t="shared" si="8"/>
        <v>3725.1840000000002</v>
      </c>
      <c r="I811" s="299"/>
    </row>
    <row r="812" spans="1:9" hidden="1" x14ac:dyDescent="0.3">
      <c r="A812" s="298" t="s">
        <v>1972</v>
      </c>
      <c r="B812" s="298" t="s">
        <v>508</v>
      </c>
      <c r="C812" s="298" t="s">
        <v>1720</v>
      </c>
      <c r="D812" s="298" t="s">
        <v>1733</v>
      </c>
      <c r="E812" s="298">
        <v>1258.17</v>
      </c>
      <c r="F812" s="299">
        <v>1250</v>
      </c>
      <c r="G812" s="299">
        <v>1500</v>
      </c>
      <c r="H812" s="299">
        <f t="shared" si="8"/>
        <v>1509.8040000000001</v>
      </c>
      <c r="I812" s="299"/>
    </row>
    <row r="813" spans="1:9" hidden="1" x14ac:dyDescent="0.3">
      <c r="A813" s="298" t="s">
        <v>1974</v>
      </c>
      <c r="B813" s="298" t="s">
        <v>511</v>
      </c>
      <c r="C813" s="298" t="s">
        <v>1720</v>
      </c>
      <c r="D813" s="298" t="s">
        <v>1735</v>
      </c>
      <c r="E813" s="298">
        <v>6546.58</v>
      </c>
      <c r="F813" s="299">
        <v>1666.7</v>
      </c>
      <c r="G813" s="299">
        <v>2000</v>
      </c>
      <c r="H813" s="299">
        <f t="shared" si="8"/>
        <v>7855.8960000000006</v>
      </c>
      <c r="I813" s="299"/>
    </row>
    <row r="814" spans="1:9" hidden="1" x14ac:dyDescent="0.3">
      <c r="A814" s="298" t="s">
        <v>1976</v>
      </c>
      <c r="B814" s="298" t="s">
        <v>465</v>
      </c>
      <c r="C814" s="298" t="s">
        <v>1720</v>
      </c>
      <c r="D814" s="298" t="s">
        <v>1742</v>
      </c>
      <c r="E814" s="298">
        <v>7295.5</v>
      </c>
      <c r="F814" s="299">
        <v>8333.2999999999993</v>
      </c>
      <c r="G814" s="299">
        <v>10000</v>
      </c>
      <c r="H814" s="299">
        <f t="shared" si="8"/>
        <v>8754.5999999999985</v>
      </c>
      <c r="I814" s="299"/>
    </row>
    <row r="815" spans="1:9" hidden="1" x14ac:dyDescent="0.3">
      <c r="A815" s="298" t="s">
        <v>1978</v>
      </c>
      <c r="B815" s="298" t="s">
        <v>490</v>
      </c>
      <c r="C815" s="298" t="s">
        <v>1720</v>
      </c>
      <c r="D815" s="298" t="s">
        <v>1744</v>
      </c>
      <c r="E815" s="298">
        <v>5874.18</v>
      </c>
      <c r="F815" s="299">
        <v>4166.7</v>
      </c>
      <c r="G815" s="299">
        <v>5000</v>
      </c>
      <c r="H815" s="299">
        <f t="shared" si="8"/>
        <v>7049.0159999999996</v>
      </c>
      <c r="I815" s="299"/>
    </row>
    <row r="816" spans="1:9" hidden="1" x14ac:dyDescent="0.3">
      <c r="A816" s="298" t="s">
        <v>1980</v>
      </c>
      <c r="B816" s="298" t="s">
        <v>280</v>
      </c>
      <c r="C816" s="298" t="s">
        <v>1720</v>
      </c>
      <c r="D816" s="298" t="s">
        <v>1750</v>
      </c>
      <c r="E816" s="298">
        <v>13931.32</v>
      </c>
      <c r="F816" s="299">
        <v>16666.7</v>
      </c>
      <c r="G816" s="299">
        <v>20000</v>
      </c>
      <c r="H816" s="299">
        <f t="shared" si="8"/>
        <v>16717.584000000003</v>
      </c>
      <c r="I816" s="299"/>
    </row>
    <row r="817" spans="1:9" hidden="1" x14ac:dyDescent="0.3">
      <c r="A817" s="298" t="s">
        <v>1982</v>
      </c>
      <c r="B817" s="298" t="s">
        <v>280</v>
      </c>
      <c r="C817" s="298" t="s">
        <v>1720</v>
      </c>
      <c r="D817" s="298" t="s">
        <v>1754</v>
      </c>
      <c r="E817" s="298">
        <v>2102.1999999999998</v>
      </c>
      <c r="F817" s="299">
        <v>0</v>
      </c>
      <c r="G817" s="299">
        <v>0</v>
      </c>
      <c r="H817" s="299">
        <f t="shared" si="8"/>
        <v>2522.6399999999994</v>
      </c>
      <c r="I817" s="299"/>
    </row>
    <row r="818" spans="1:9" hidden="1" x14ac:dyDescent="0.3">
      <c r="A818" s="298" t="s">
        <v>1984</v>
      </c>
      <c r="B818" s="298" t="s">
        <v>280</v>
      </c>
      <c r="C818" s="298" t="s">
        <v>1720</v>
      </c>
      <c r="D818" s="298" t="s">
        <v>1756</v>
      </c>
      <c r="E818" s="298">
        <v>596.29</v>
      </c>
      <c r="F818" s="299">
        <v>416.7</v>
      </c>
      <c r="G818" s="299">
        <v>500</v>
      </c>
      <c r="H818" s="299">
        <f t="shared" si="8"/>
        <v>715.548</v>
      </c>
      <c r="I818" s="299"/>
    </row>
    <row r="819" spans="1:9" hidden="1" x14ac:dyDescent="0.3">
      <c r="A819" s="298" t="s">
        <v>1986</v>
      </c>
      <c r="B819" s="298" t="s">
        <v>280</v>
      </c>
      <c r="C819" s="298" t="s">
        <v>1720</v>
      </c>
      <c r="D819" s="298" t="s">
        <v>1758</v>
      </c>
      <c r="E819" s="298">
        <v>1811.54</v>
      </c>
      <c r="F819" s="299">
        <v>2500</v>
      </c>
      <c r="G819" s="299">
        <v>3000</v>
      </c>
      <c r="H819" s="299">
        <f t="shared" si="8"/>
        <v>2173.848</v>
      </c>
      <c r="I819" s="299"/>
    </row>
    <row r="820" spans="1:9" hidden="1" x14ac:dyDescent="0.3">
      <c r="A820" s="298" t="s">
        <v>1988</v>
      </c>
      <c r="B820" s="298" t="s">
        <v>280</v>
      </c>
      <c r="C820" s="298" t="s">
        <v>1720</v>
      </c>
      <c r="D820" s="298" t="s">
        <v>1760</v>
      </c>
      <c r="E820" s="298">
        <v>1157.0999999999999</v>
      </c>
      <c r="F820" s="299">
        <v>833.3</v>
      </c>
      <c r="G820" s="299">
        <v>1000</v>
      </c>
      <c r="H820" s="299">
        <f t="shared" si="8"/>
        <v>1388.52</v>
      </c>
      <c r="I820" s="299"/>
    </row>
    <row r="821" spans="1:9" hidden="1" x14ac:dyDescent="0.3">
      <c r="A821" s="298" t="s">
        <v>1990</v>
      </c>
      <c r="B821" s="298" t="s">
        <v>280</v>
      </c>
      <c r="C821" s="298" t="s">
        <v>1720</v>
      </c>
      <c r="D821" s="298" t="s">
        <v>1762</v>
      </c>
      <c r="E821" s="298">
        <v>3611.39</v>
      </c>
      <c r="F821" s="299">
        <v>5000</v>
      </c>
      <c r="G821" s="299">
        <v>6000</v>
      </c>
      <c r="H821" s="299">
        <f t="shared" si="8"/>
        <v>4333.6679999999997</v>
      </c>
      <c r="I821" s="299"/>
    </row>
    <row r="822" spans="1:9" hidden="1" x14ac:dyDescent="0.3">
      <c r="A822" s="298" t="s">
        <v>1992</v>
      </c>
      <c r="B822" s="298" t="s">
        <v>280</v>
      </c>
      <c r="C822" s="298" t="s">
        <v>1720</v>
      </c>
      <c r="D822" s="298" t="s">
        <v>1764</v>
      </c>
      <c r="E822" s="298">
        <v>4553.03</v>
      </c>
      <c r="F822" s="299">
        <v>2500</v>
      </c>
      <c r="G822" s="299">
        <v>3000</v>
      </c>
      <c r="H822" s="299">
        <f t="shared" si="8"/>
        <v>5463.6360000000004</v>
      </c>
      <c r="I822" s="299"/>
    </row>
    <row r="823" spans="1:9" hidden="1" x14ac:dyDescent="0.3">
      <c r="A823" s="298" t="s">
        <v>1994</v>
      </c>
      <c r="B823" s="298" t="s">
        <v>283</v>
      </c>
      <c r="C823" s="298" t="s">
        <v>1720</v>
      </c>
      <c r="D823" s="298" t="s">
        <v>1766</v>
      </c>
      <c r="E823" s="298">
        <v>257.52999999999997</v>
      </c>
      <c r="F823" s="299">
        <v>0</v>
      </c>
      <c r="G823" s="299">
        <v>0</v>
      </c>
      <c r="H823" s="299">
        <f t="shared" si="8"/>
        <v>309.03599999999994</v>
      </c>
      <c r="I823" s="299"/>
    </row>
    <row r="824" spans="1:9" x14ac:dyDescent="0.3">
      <c r="A824" s="298" t="s">
        <v>1996</v>
      </c>
      <c r="B824" s="298" t="s">
        <v>287</v>
      </c>
      <c r="C824" s="298" t="s">
        <v>1720</v>
      </c>
      <c r="D824" s="298" t="s">
        <v>1768</v>
      </c>
      <c r="E824" s="298">
        <v>20256.150000000001</v>
      </c>
      <c r="F824" s="299">
        <v>12500</v>
      </c>
      <c r="G824" s="299">
        <v>15000</v>
      </c>
      <c r="H824" s="299">
        <f t="shared" si="8"/>
        <v>24307.380000000005</v>
      </c>
      <c r="I824" s="299"/>
    </row>
    <row r="825" spans="1:9" hidden="1" x14ac:dyDescent="0.3">
      <c r="A825" s="298" t="s">
        <v>1998</v>
      </c>
      <c r="B825" s="298" t="s">
        <v>558</v>
      </c>
      <c r="C825" s="298" t="s">
        <v>1720</v>
      </c>
      <c r="D825" s="298" t="s">
        <v>1772</v>
      </c>
      <c r="E825" s="298">
        <v>1659.99</v>
      </c>
      <c r="F825" s="299">
        <v>416.7</v>
      </c>
      <c r="G825" s="299">
        <v>500</v>
      </c>
      <c r="H825" s="299">
        <f t="shared" si="8"/>
        <v>1991.9879999999998</v>
      </c>
      <c r="I825" s="299"/>
    </row>
    <row r="826" spans="1:9" hidden="1" x14ac:dyDescent="0.3">
      <c r="A826" s="298" t="s">
        <v>2000</v>
      </c>
      <c r="B826" s="298" t="s">
        <v>497</v>
      </c>
      <c r="C826" s="298" t="s">
        <v>1720</v>
      </c>
      <c r="D826" s="298" t="s">
        <v>1776</v>
      </c>
      <c r="E826" s="298">
        <v>12156.71</v>
      </c>
      <c r="F826" s="299">
        <v>16666.7</v>
      </c>
      <c r="G826" s="299">
        <v>20000</v>
      </c>
      <c r="H826" s="299">
        <f t="shared" si="8"/>
        <v>14588.051999999998</v>
      </c>
      <c r="I826" s="299"/>
    </row>
    <row r="827" spans="1:9" hidden="1" x14ac:dyDescent="0.3">
      <c r="A827" s="298" t="s">
        <v>2002</v>
      </c>
      <c r="B827" s="298" t="s">
        <v>490</v>
      </c>
      <c r="C827" s="298" t="s">
        <v>1720</v>
      </c>
      <c r="D827" s="298" t="s">
        <v>1778</v>
      </c>
      <c r="E827" s="298">
        <v>4261.92</v>
      </c>
      <c r="F827" s="299">
        <v>6250</v>
      </c>
      <c r="G827" s="299">
        <v>7500</v>
      </c>
      <c r="H827" s="299">
        <f t="shared" si="8"/>
        <v>5114.3040000000001</v>
      </c>
      <c r="I827" s="299"/>
    </row>
    <row r="828" spans="1:9" hidden="1" x14ac:dyDescent="0.3">
      <c r="A828" s="298" t="s">
        <v>2004</v>
      </c>
      <c r="B828" s="298" t="s">
        <v>1780</v>
      </c>
      <c r="C828" s="298" t="s">
        <v>1720</v>
      </c>
      <c r="D828" s="298" t="s">
        <v>1781</v>
      </c>
      <c r="E828" s="298">
        <v>3336.78</v>
      </c>
      <c r="F828" s="299">
        <v>0</v>
      </c>
      <c r="G828" s="299">
        <v>0</v>
      </c>
      <c r="H828" s="299">
        <f t="shared" si="8"/>
        <v>4004.136</v>
      </c>
      <c r="I828" s="299"/>
    </row>
    <row r="829" spans="1:9" x14ac:dyDescent="0.3">
      <c r="A829" s="298" t="s">
        <v>2006</v>
      </c>
      <c r="B829" s="298" t="s">
        <v>287</v>
      </c>
      <c r="C829" s="298" t="s">
        <v>1720</v>
      </c>
      <c r="D829" s="298" t="s">
        <v>1783</v>
      </c>
      <c r="E829" s="298">
        <v>2211.42</v>
      </c>
      <c r="F829" s="299">
        <v>12500</v>
      </c>
      <c r="G829" s="299">
        <v>15000</v>
      </c>
      <c r="H829" s="299">
        <f t="shared" si="8"/>
        <v>2653.7039999999997</v>
      </c>
      <c r="I829" s="299"/>
    </row>
    <row r="830" spans="1:9" hidden="1" x14ac:dyDescent="0.3">
      <c r="A830" s="298" t="s">
        <v>2008</v>
      </c>
      <c r="B830" s="298" t="s">
        <v>1684</v>
      </c>
      <c r="C830" s="298" t="s">
        <v>1720</v>
      </c>
      <c r="D830" s="298" t="s">
        <v>1785</v>
      </c>
      <c r="E830" s="298">
        <v>3517.04</v>
      </c>
      <c r="F830" s="299">
        <v>4166.7</v>
      </c>
      <c r="G830" s="299">
        <v>5000</v>
      </c>
      <c r="H830" s="299">
        <f t="shared" si="8"/>
        <v>4220.4480000000003</v>
      </c>
      <c r="I830" s="299"/>
    </row>
    <row r="831" spans="1:9" hidden="1" x14ac:dyDescent="0.3">
      <c r="A831" s="298" t="s">
        <v>2010</v>
      </c>
      <c r="B831" s="298" t="s">
        <v>497</v>
      </c>
      <c r="C831" s="298" t="s">
        <v>1707</v>
      </c>
      <c r="D831" s="298" t="s">
        <v>1727</v>
      </c>
      <c r="E831" s="298">
        <v>2582.92</v>
      </c>
      <c r="F831" s="299">
        <v>2500</v>
      </c>
      <c r="G831" s="299">
        <v>300</v>
      </c>
      <c r="H831" s="299">
        <f t="shared" si="8"/>
        <v>3099.5040000000004</v>
      </c>
      <c r="I831" s="299"/>
    </row>
    <row r="832" spans="1:9" hidden="1" x14ac:dyDescent="0.3">
      <c r="A832" s="298" t="s">
        <v>2013</v>
      </c>
      <c r="B832" s="298" t="s">
        <v>465</v>
      </c>
      <c r="C832" s="298" t="s">
        <v>1707</v>
      </c>
      <c r="D832" s="298" t="s">
        <v>1708</v>
      </c>
      <c r="E832" s="298">
        <v>38699.839999999997</v>
      </c>
      <c r="F832" s="299">
        <v>41666.699999999997</v>
      </c>
      <c r="G832" s="299">
        <v>50000</v>
      </c>
      <c r="H832" s="299">
        <f t="shared" si="8"/>
        <v>46439.80799999999</v>
      </c>
      <c r="I832" s="299"/>
    </row>
    <row r="833" spans="1:9" hidden="1" x14ac:dyDescent="0.3">
      <c r="A833" s="298" t="s">
        <v>2015</v>
      </c>
      <c r="B833" s="298" t="s">
        <v>1710</v>
      </c>
      <c r="C833" s="298" t="s">
        <v>1707</v>
      </c>
      <c r="D833" s="298" t="s">
        <v>1711</v>
      </c>
      <c r="E833" s="298">
        <v>3060.56</v>
      </c>
      <c r="F833" s="299">
        <v>4166.7</v>
      </c>
      <c r="G833" s="299">
        <v>5000</v>
      </c>
      <c r="H833" s="299">
        <f t="shared" si="8"/>
        <v>3672.6719999999996</v>
      </c>
      <c r="I833" s="299"/>
    </row>
    <row r="834" spans="1:9" hidden="1" x14ac:dyDescent="0.3">
      <c r="A834" s="298" t="s">
        <v>2017</v>
      </c>
      <c r="B834" s="298" t="s">
        <v>247</v>
      </c>
      <c r="C834" s="298" t="s">
        <v>1707</v>
      </c>
      <c r="D834" s="298" t="s">
        <v>1713</v>
      </c>
      <c r="E834" s="298">
        <v>100.94</v>
      </c>
      <c r="F834" s="299">
        <v>0</v>
      </c>
      <c r="G834" s="299">
        <v>0</v>
      </c>
      <c r="H834" s="299">
        <f t="shared" si="8"/>
        <v>121.12799999999999</v>
      </c>
      <c r="I834" s="299"/>
    </row>
    <row r="835" spans="1:9" hidden="1" x14ac:dyDescent="0.3">
      <c r="A835" s="298" t="s">
        <v>2020</v>
      </c>
      <c r="B835" s="298" t="s">
        <v>1715</v>
      </c>
      <c r="C835" s="298" t="s">
        <v>1707</v>
      </c>
      <c r="D835" s="298" t="s">
        <v>1716</v>
      </c>
      <c r="E835" s="298">
        <v>4354.42</v>
      </c>
      <c r="F835" s="299">
        <v>4166.7</v>
      </c>
      <c r="G835" s="299">
        <v>5000</v>
      </c>
      <c r="H835" s="299">
        <f t="shared" si="8"/>
        <v>5225.3040000000001</v>
      </c>
      <c r="I835" s="299"/>
    </row>
    <row r="836" spans="1:9" hidden="1" x14ac:dyDescent="0.3">
      <c r="A836" s="298" t="s">
        <v>2022</v>
      </c>
      <c r="B836" s="298" t="s">
        <v>251</v>
      </c>
      <c r="C836" s="298" t="s">
        <v>1707</v>
      </c>
      <c r="D836" s="298" t="s">
        <v>1729</v>
      </c>
      <c r="E836" s="298">
        <v>2262.16</v>
      </c>
      <c r="F836" s="299">
        <v>0</v>
      </c>
      <c r="G836" s="299">
        <v>0</v>
      </c>
      <c r="H836" s="299">
        <f t="shared" si="8"/>
        <v>2714.5919999999996</v>
      </c>
      <c r="I836" s="299"/>
    </row>
    <row r="837" spans="1:9" hidden="1" x14ac:dyDescent="0.3">
      <c r="A837" s="298" t="s">
        <v>2024</v>
      </c>
      <c r="B837" s="298" t="s">
        <v>303</v>
      </c>
      <c r="C837" s="298" t="s">
        <v>1707</v>
      </c>
      <c r="D837" s="298" t="s">
        <v>1752</v>
      </c>
      <c r="E837" s="298">
        <v>1053.57</v>
      </c>
      <c r="F837" s="299">
        <v>0</v>
      </c>
      <c r="G837" s="299">
        <v>0</v>
      </c>
      <c r="H837" s="299">
        <f t="shared" si="8"/>
        <v>1264.2840000000001</v>
      </c>
      <c r="I837" s="299"/>
    </row>
    <row r="838" spans="1:9" hidden="1" x14ac:dyDescent="0.3">
      <c r="A838" s="298" t="s">
        <v>2027</v>
      </c>
      <c r="B838" s="298" t="s">
        <v>422</v>
      </c>
      <c r="C838" s="298" t="s">
        <v>1695</v>
      </c>
      <c r="D838" s="298" t="s">
        <v>1696</v>
      </c>
      <c r="E838" s="298">
        <v>1640.28</v>
      </c>
      <c r="F838" s="299">
        <v>2500</v>
      </c>
      <c r="G838" s="299">
        <v>3000</v>
      </c>
      <c r="H838" s="299">
        <f t="shared" si="8"/>
        <v>1968.3359999999998</v>
      </c>
      <c r="I838" s="299"/>
    </row>
    <row r="839" spans="1:9" hidden="1" x14ac:dyDescent="0.3">
      <c r="A839" s="298" t="s">
        <v>2029</v>
      </c>
      <c r="B839" s="298" t="s">
        <v>1661</v>
      </c>
      <c r="C839" s="298" t="s">
        <v>1695</v>
      </c>
      <c r="D839" s="298" t="s">
        <v>1698</v>
      </c>
      <c r="E839" s="298">
        <v>1904.27</v>
      </c>
      <c r="F839" s="299">
        <v>1250</v>
      </c>
      <c r="G839" s="299">
        <v>1500</v>
      </c>
      <c r="H839" s="299">
        <f t="shared" si="8"/>
        <v>2285.1239999999998</v>
      </c>
      <c r="I839" s="299"/>
    </row>
    <row r="840" spans="1:9" hidden="1" x14ac:dyDescent="0.3">
      <c r="A840" s="298" t="s">
        <v>2031</v>
      </c>
      <c r="B840" s="298" t="s">
        <v>1700</v>
      </c>
      <c r="C840" s="298" t="s">
        <v>1695</v>
      </c>
      <c r="D840" s="298" t="s">
        <v>1701</v>
      </c>
      <c r="E840" s="298">
        <v>545.89</v>
      </c>
      <c r="F840" s="299">
        <v>1250</v>
      </c>
      <c r="G840" s="299">
        <v>1500</v>
      </c>
      <c r="H840" s="299">
        <f t="shared" si="8"/>
        <v>655.06799999999998</v>
      </c>
      <c r="I840" s="299"/>
    </row>
    <row r="841" spans="1:9" hidden="1" x14ac:dyDescent="0.3">
      <c r="A841" s="298" t="s">
        <v>2033</v>
      </c>
      <c r="B841" s="298" t="s">
        <v>402</v>
      </c>
      <c r="C841" s="298" t="s">
        <v>1695</v>
      </c>
      <c r="D841" s="298" t="s">
        <v>1703</v>
      </c>
      <c r="E841" s="298">
        <v>731.94</v>
      </c>
      <c r="F841" s="299">
        <v>0</v>
      </c>
      <c r="G841" s="299">
        <v>0</v>
      </c>
      <c r="H841" s="299">
        <f t="shared" si="8"/>
        <v>878.32799999999997</v>
      </c>
      <c r="I841" s="299"/>
    </row>
    <row r="842" spans="1:9" hidden="1" x14ac:dyDescent="0.3">
      <c r="A842" s="298" t="s">
        <v>2035</v>
      </c>
      <c r="B842" s="298" t="s">
        <v>468</v>
      </c>
      <c r="C842" s="298" t="s">
        <v>1695</v>
      </c>
      <c r="D842" s="298" t="s">
        <v>1705</v>
      </c>
      <c r="E842" s="298">
        <v>3747.95</v>
      </c>
      <c r="F842" s="299">
        <v>2500</v>
      </c>
      <c r="G842" s="299">
        <v>3000</v>
      </c>
      <c r="H842" s="299">
        <f t="shared" si="8"/>
        <v>4497.5399999999991</v>
      </c>
      <c r="I842" s="299"/>
    </row>
    <row r="843" spans="1:9" hidden="1" x14ac:dyDescent="0.3">
      <c r="A843" s="298" t="s">
        <v>2037</v>
      </c>
      <c r="B843" s="298" t="s">
        <v>422</v>
      </c>
      <c r="C843" s="298" t="s">
        <v>1695</v>
      </c>
      <c r="D843" s="298" t="s">
        <v>1718</v>
      </c>
      <c r="E843" s="298">
        <v>1790.18</v>
      </c>
      <c r="F843" s="299">
        <v>1250</v>
      </c>
      <c r="G843" s="299">
        <v>1500</v>
      </c>
      <c r="H843" s="299">
        <f t="shared" si="8"/>
        <v>2148.2159999999999</v>
      </c>
      <c r="I843" s="299"/>
    </row>
    <row r="844" spans="1:9" hidden="1" x14ac:dyDescent="0.3">
      <c r="A844" s="298" t="s">
        <v>2039</v>
      </c>
      <c r="B844" s="298" t="s">
        <v>422</v>
      </c>
      <c r="C844" s="298" t="s">
        <v>1695</v>
      </c>
      <c r="D844" s="298" t="s">
        <v>1737</v>
      </c>
      <c r="E844" s="298">
        <v>577.72</v>
      </c>
      <c r="F844" s="299">
        <v>1250</v>
      </c>
      <c r="G844" s="299">
        <v>1500</v>
      </c>
      <c r="H844" s="299">
        <f t="shared" si="8"/>
        <v>693.26400000000012</v>
      </c>
      <c r="I844" s="299"/>
    </row>
    <row r="845" spans="1:9" hidden="1" x14ac:dyDescent="0.3">
      <c r="A845" s="298" t="s">
        <v>2041</v>
      </c>
      <c r="B845" s="298" t="s">
        <v>524</v>
      </c>
      <c r="C845" s="298" t="s">
        <v>1695</v>
      </c>
      <c r="D845" s="298" t="s">
        <v>1746</v>
      </c>
      <c r="E845" s="298">
        <v>1754.93</v>
      </c>
      <c r="F845" s="299">
        <v>2500</v>
      </c>
      <c r="G845" s="299">
        <v>3000</v>
      </c>
      <c r="H845" s="299">
        <f t="shared" si="8"/>
        <v>2105.9160000000002</v>
      </c>
      <c r="I845" s="299"/>
    </row>
    <row r="846" spans="1:9" hidden="1" x14ac:dyDescent="0.3">
      <c r="A846" s="298" t="s">
        <v>2043</v>
      </c>
      <c r="B846" s="298" t="s">
        <v>422</v>
      </c>
      <c r="C846" s="298" t="s">
        <v>1695</v>
      </c>
      <c r="D846" s="298" t="s">
        <v>1748</v>
      </c>
      <c r="E846" s="298">
        <v>478.24</v>
      </c>
      <c r="F846" s="299">
        <v>2500</v>
      </c>
      <c r="G846" s="299">
        <v>3000</v>
      </c>
      <c r="H846" s="299">
        <f t="shared" si="8"/>
        <v>573.88799999999992</v>
      </c>
      <c r="I846" s="299"/>
    </row>
    <row r="847" spans="1:9" hidden="1" x14ac:dyDescent="0.3">
      <c r="A847" s="298" t="s">
        <v>2045</v>
      </c>
      <c r="B847" s="298" t="s">
        <v>1684</v>
      </c>
      <c r="C847" s="298" t="s">
        <v>1695</v>
      </c>
      <c r="D847" s="298" t="s">
        <v>1770</v>
      </c>
      <c r="E847" s="298">
        <v>9280.74</v>
      </c>
      <c r="F847" s="299">
        <v>4166.7</v>
      </c>
      <c r="G847" s="299">
        <v>5000</v>
      </c>
      <c r="H847" s="299">
        <f t="shared" si="8"/>
        <v>11136.887999999999</v>
      </c>
      <c r="I847" s="299"/>
    </row>
    <row r="848" spans="1:9" hidden="1" x14ac:dyDescent="0.3">
      <c r="A848" s="298" t="s">
        <v>2047</v>
      </c>
      <c r="B848" s="298" t="s">
        <v>293</v>
      </c>
      <c r="C848" s="298" t="s">
        <v>1695</v>
      </c>
      <c r="D848" s="298" t="s">
        <v>1774</v>
      </c>
      <c r="E848" s="298">
        <v>5360</v>
      </c>
      <c r="F848" s="299">
        <v>16666.7</v>
      </c>
      <c r="G848" s="299">
        <v>20000</v>
      </c>
      <c r="H848" s="299">
        <f t="shared" si="8"/>
        <v>6432</v>
      </c>
      <c r="I848" s="299"/>
    </row>
    <row r="849" spans="1:9" hidden="1" x14ac:dyDescent="0.3">
      <c r="A849" s="298" t="s">
        <v>2049</v>
      </c>
      <c r="B849" s="298" t="s">
        <v>300</v>
      </c>
      <c r="C849" s="298" t="s">
        <v>1739</v>
      </c>
      <c r="D849" s="298" t="s">
        <v>1740</v>
      </c>
      <c r="E849" s="298">
        <v>1877.74</v>
      </c>
      <c r="F849" s="299">
        <v>0</v>
      </c>
      <c r="G849" s="299">
        <v>3000</v>
      </c>
      <c r="H849" s="299">
        <f t="shared" si="8"/>
        <v>2253.288</v>
      </c>
      <c r="I849" s="299"/>
    </row>
    <row r="850" spans="1:9" hidden="1" x14ac:dyDescent="0.3">
      <c r="A850" s="298" t="s">
        <v>2051</v>
      </c>
      <c r="B850" s="298" t="s">
        <v>454</v>
      </c>
      <c r="C850" s="298" t="s">
        <v>1881</v>
      </c>
      <c r="D850" s="298" t="s">
        <v>1882</v>
      </c>
      <c r="E850" s="298">
        <v>12534.99</v>
      </c>
      <c r="F850" s="299">
        <v>8333.2999999999993</v>
      </c>
      <c r="G850" s="299">
        <v>24000</v>
      </c>
      <c r="H850" s="299">
        <f t="shared" si="8"/>
        <v>15041.988000000001</v>
      </c>
      <c r="I850" s="299"/>
    </row>
    <row r="851" spans="1:9" hidden="1" x14ac:dyDescent="0.3">
      <c r="A851" s="298" t="s">
        <v>2053</v>
      </c>
      <c r="B851" s="298" t="s">
        <v>402</v>
      </c>
      <c r="C851" s="298" t="s">
        <v>1881</v>
      </c>
      <c r="D851" s="298" t="s">
        <v>1884</v>
      </c>
      <c r="E851" s="298">
        <v>9901.67</v>
      </c>
      <c r="F851" s="299">
        <v>0</v>
      </c>
      <c r="G851" s="299">
        <v>10000</v>
      </c>
      <c r="H851" s="299">
        <f t="shared" si="8"/>
        <v>11882.004000000001</v>
      </c>
      <c r="I851" s="299"/>
    </row>
    <row r="852" spans="1:9" hidden="1" x14ac:dyDescent="0.3">
      <c r="A852" s="298" t="s">
        <v>2055</v>
      </c>
      <c r="B852" s="298" t="s">
        <v>454</v>
      </c>
      <c r="C852" s="298" t="s">
        <v>1881</v>
      </c>
      <c r="D852" s="298" t="s">
        <v>1882</v>
      </c>
      <c r="E852" s="298">
        <v>43.3</v>
      </c>
      <c r="F852" s="299">
        <v>0</v>
      </c>
      <c r="G852" s="299">
        <v>0</v>
      </c>
      <c r="H852" s="299">
        <f t="shared" si="8"/>
        <v>51.96</v>
      </c>
      <c r="I852" s="299"/>
    </row>
    <row r="853" spans="1:9" hidden="1" x14ac:dyDescent="0.3">
      <c r="A853" s="298" t="s">
        <v>2057</v>
      </c>
      <c r="B853" s="298" t="s">
        <v>454</v>
      </c>
      <c r="C853" s="298" t="s">
        <v>1887</v>
      </c>
      <c r="D853" s="298" t="s">
        <v>1888</v>
      </c>
      <c r="E853" s="298">
        <v>531.27</v>
      </c>
      <c r="F853" s="299">
        <v>0</v>
      </c>
      <c r="G853" s="299">
        <v>0</v>
      </c>
      <c r="H853" s="299">
        <f t="shared" si="8"/>
        <v>637.52399999999989</v>
      </c>
      <c r="I853" s="299"/>
    </row>
    <row r="854" spans="1:9" hidden="1" x14ac:dyDescent="0.3">
      <c r="A854" s="298" t="s">
        <v>2059</v>
      </c>
      <c r="B854" s="298" t="s">
        <v>1700</v>
      </c>
      <c r="C854" s="298" t="s">
        <v>1845</v>
      </c>
      <c r="D854" s="298" t="s">
        <v>1846</v>
      </c>
      <c r="E854" s="298">
        <v>6202.48</v>
      </c>
      <c r="F854" s="299">
        <v>20833.3</v>
      </c>
      <c r="G854" s="299">
        <v>5000</v>
      </c>
      <c r="H854" s="299">
        <f t="shared" si="8"/>
        <v>7442.9759999999987</v>
      </c>
      <c r="I854" s="299"/>
    </row>
    <row r="855" spans="1:9" hidden="1" x14ac:dyDescent="0.3">
      <c r="A855" s="298" t="s">
        <v>2061</v>
      </c>
      <c r="B855" s="298" t="s">
        <v>263</v>
      </c>
      <c r="C855" s="298" t="s">
        <v>1845</v>
      </c>
      <c r="D855" s="298" t="s">
        <v>1854</v>
      </c>
      <c r="E855" s="298">
        <v>2108.16</v>
      </c>
      <c r="F855" s="299">
        <v>4166.7</v>
      </c>
      <c r="G855" s="299">
        <v>0</v>
      </c>
      <c r="H855" s="299">
        <f t="shared" si="8"/>
        <v>2529.7919999999995</v>
      </c>
      <c r="I855" s="299"/>
    </row>
    <row r="856" spans="1:9" hidden="1" x14ac:dyDescent="0.3">
      <c r="A856" s="298" t="s">
        <v>2063</v>
      </c>
      <c r="B856" s="298" t="s">
        <v>290</v>
      </c>
      <c r="C856" s="298" t="s">
        <v>1845</v>
      </c>
      <c r="D856" s="298" t="s">
        <v>1858</v>
      </c>
      <c r="E856" s="298">
        <v>0</v>
      </c>
      <c r="F856" s="299">
        <v>8333.2999999999993</v>
      </c>
      <c r="G856" s="299">
        <v>0</v>
      </c>
      <c r="H856" s="299">
        <f t="shared" si="8"/>
        <v>0</v>
      </c>
      <c r="I856" s="299"/>
    </row>
    <row r="857" spans="1:9" hidden="1" x14ac:dyDescent="0.3">
      <c r="A857" s="298" t="s">
        <v>2065</v>
      </c>
      <c r="B857" s="298" t="s">
        <v>422</v>
      </c>
      <c r="C857" s="298" t="s">
        <v>1821</v>
      </c>
      <c r="D857" s="298" t="s">
        <v>1822</v>
      </c>
      <c r="E857" s="298">
        <v>53700.78</v>
      </c>
      <c r="F857" s="299">
        <v>8333.2999999999993</v>
      </c>
      <c r="G857" s="299">
        <v>10000</v>
      </c>
      <c r="H857" s="299">
        <f t="shared" si="8"/>
        <v>64440.935999999994</v>
      </c>
      <c r="I857" s="299"/>
    </row>
    <row r="858" spans="1:9" hidden="1" x14ac:dyDescent="0.3">
      <c r="A858" s="298" t="s">
        <v>2067</v>
      </c>
      <c r="B858" s="298" t="s">
        <v>422</v>
      </c>
      <c r="C858" s="298" t="s">
        <v>1821</v>
      </c>
      <c r="D858" s="298" t="s">
        <v>1824</v>
      </c>
      <c r="E858" s="298">
        <v>4279.72</v>
      </c>
      <c r="F858" s="299">
        <v>29166.7</v>
      </c>
      <c r="G858" s="299">
        <v>35000</v>
      </c>
      <c r="H858" s="299">
        <f t="shared" si="8"/>
        <v>5135.6640000000007</v>
      </c>
      <c r="I858" s="299"/>
    </row>
    <row r="859" spans="1:9" hidden="1" x14ac:dyDescent="0.3">
      <c r="A859" s="298" t="s">
        <v>2069</v>
      </c>
      <c r="B859" s="298" t="s">
        <v>1661</v>
      </c>
      <c r="C859" s="298" t="s">
        <v>1821</v>
      </c>
      <c r="D859" s="298" t="s">
        <v>1826</v>
      </c>
      <c r="E859" s="298">
        <v>22045.39</v>
      </c>
      <c r="F859" s="299">
        <v>4166.7</v>
      </c>
      <c r="G859" s="299">
        <v>5000</v>
      </c>
      <c r="H859" s="299">
        <f t="shared" si="8"/>
        <v>26454.467999999997</v>
      </c>
      <c r="I859" s="299"/>
    </row>
    <row r="860" spans="1:9" hidden="1" x14ac:dyDescent="0.3">
      <c r="A860" s="298" t="s">
        <v>2071</v>
      </c>
      <c r="B860" s="298" t="s">
        <v>460</v>
      </c>
      <c r="C860" s="298" t="s">
        <v>1821</v>
      </c>
      <c r="D860" s="298" t="s">
        <v>1828</v>
      </c>
      <c r="E860" s="298">
        <v>3707.76</v>
      </c>
      <c r="F860" s="299">
        <v>0</v>
      </c>
      <c r="G860" s="299">
        <v>0</v>
      </c>
      <c r="H860" s="299">
        <f t="shared" si="8"/>
        <v>4449.3119999999999</v>
      </c>
      <c r="I860" s="299"/>
    </row>
    <row r="861" spans="1:9" hidden="1" x14ac:dyDescent="0.3">
      <c r="A861" s="298" t="s">
        <v>2073</v>
      </c>
      <c r="B861" s="298" t="s">
        <v>422</v>
      </c>
      <c r="C861" s="298" t="s">
        <v>1821</v>
      </c>
      <c r="D861" s="298" t="s">
        <v>1830</v>
      </c>
      <c r="E861" s="298">
        <v>145750.51</v>
      </c>
      <c r="F861" s="299">
        <v>0</v>
      </c>
      <c r="G861" s="299">
        <v>0</v>
      </c>
      <c r="H861" s="299">
        <f t="shared" si="8"/>
        <v>174900.61200000002</v>
      </c>
      <c r="I861" s="299"/>
    </row>
    <row r="862" spans="1:9" hidden="1" x14ac:dyDescent="0.3">
      <c r="A862" s="298" t="s">
        <v>2075</v>
      </c>
      <c r="B862" s="298" t="s">
        <v>473</v>
      </c>
      <c r="C862" s="298" t="s">
        <v>1821</v>
      </c>
      <c r="D862" s="298" t="s">
        <v>1832</v>
      </c>
      <c r="E862" s="298">
        <v>13406.25</v>
      </c>
      <c r="F862" s="299">
        <v>7812.5</v>
      </c>
      <c r="G862" s="299">
        <v>9375</v>
      </c>
      <c r="H862" s="299">
        <f t="shared" si="8"/>
        <v>16087.5</v>
      </c>
      <c r="I862" s="299"/>
    </row>
    <row r="863" spans="1:9" hidden="1" x14ac:dyDescent="0.3">
      <c r="A863" s="298" t="s">
        <v>2077</v>
      </c>
      <c r="B863" s="298" t="s">
        <v>251</v>
      </c>
      <c r="C863" s="298" t="s">
        <v>1821</v>
      </c>
      <c r="D863" s="298" t="s">
        <v>1837</v>
      </c>
      <c r="E863" s="298">
        <v>699.46</v>
      </c>
      <c r="F863" s="299">
        <v>0</v>
      </c>
      <c r="G863" s="299">
        <v>0</v>
      </c>
      <c r="H863" s="299">
        <f t="shared" si="8"/>
        <v>839.35199999999998</v>
      </c>
      <c r="I863" s="299"/>
    </row>
    <row r="864" spans="1:9" hidden="1" x14ac:dyDescent="0.3">
      <c r="A864" s="298" t="s">
        <v>2079</v>
      </c>
      <c r="B864" s="298" t="s">
        <v>485</v>
      </c>
      <c r="C864" s="298" t="s">
        <v>1834</v>
      </c>
      <c r="D864" s="298" t="s">
        <v>1835</v>
      </c>
      <c r="E864" s="298">
        <v>0</v>
      </c>
      <c r="F864" s="299">
        <v>7812.5</v>
      </c>
      <c r="G864" s="299">
        <v>9375</v>
      </c>
      <c r="H864" s="299">
        <f t="shared" si="8"/>
        <v>0</v>
      </c>
      <c r="I864" s="299"/>
    </row>
    <row r="865" spans="1:9" hidden="1" x14ac:dyDescent="0.3">
      <c r="A865" s="298" t="s">
        <v>2081</v>
      </c>
      <c r="B865" s="298" t="s">
        <v>422</v>
      </c>
      <c r="C865" s="298" t="s">
        <v>1202</v>
      </c>
      <c r="D865" s="298" t="s">
        <v>1203</v>
      </c>
      <c r="E865" s="298">
        <v>3924.02</v>
      </c>
      <c r="F865" s="299">
        <v>0</v>
      </c>
      <c r="G865" s="299">
        <v>0</v>
      </c>
      <c r="H865" s="299">
        <f t="shared" si="8"/>
        <v>4708.8239999999996</v>
      </c>
      <c r="I865" s="299"/>
    </row>
    <row r="866" spans="1:9" hidden="1" x14ac:dyDescent="0.3">
      <c r="A866" s="298" t="s">
        <v>2083</v>
      </c>
      <c r="B866" s="298" t="s">
        <v>454</v>
      </c>
      <c r="C866" s="298" t="s">
        <v>1202</v>
      </c>
      <c r="D866" s="298" t="s">
        <v>1205</v>
      </c>
      <c r="E866" s="298">
        <v>1268.07</v>
      </c>
      <c r="F866" s="299">
        <v>0</v>
      </c>
      <c r="G866" s="299">
        <v>0</v>
      </c>
      <c r="H866" s="299">
        <f t="shared" ref="H866:H929" si="9">+E866/10*12</f>
        <v>1521.6839999999997</v>
      </c>
      <c r="I866" s="299"/>
    </row>
    <row r="867" spans="1:9" hidden="1" x14ac:dyDescent="0.3">
      <c r="A867" s="298" t="s">
        <v>2085</v>
      </c>
      <c r="B867" s="298" t="s">
        <v>457</v>
      </c>
      <c r="C867" s="298" t="s">
        <v>1202</v>
      </c>
      <c r="D867" s="298" t="s">
        <v>1207</v>
      </c>
      <c r="E867" s="298">
        <v>1298.57</v>
      </c>
      <c r="F867" s="299">
        <v>16666.7</v>
      </c>
      <c r="G867" s="299">
        <v>20000</v>
      </c>
      <c r="H867" s="299">
        <f t="shared" si="9"/>
        <v>1558.2840000000001</v>
      </c>
      <c r="I867" s="299"/>
    </row>
    <row r="868" spans="1:9" hidden="1" x14ac:dyDescent="0.3">
      <c r="A868" s="298" t="s">
        <v>2087</v>
      </c>
      <c r="B868" s="298" t="s">
        <v>468</v>
      </c>
      <c r="C868" s="298" t="s">
        <v>1202</v>
      </c>
      <c r="D868" s="298" t="s">
        <v>1209</v>
      </c>
      <c r="E868" s="298">
        <v>841.99</v>
      </c>
      <c r="F868" s="299">
        <v>0</v>
      </c>
      <c r="G868" s="299">
        <v>0</v>
      </c>
      <c r="H868" s="299">
        <f t="shared" si="9"/>
        <v>1010.3879999999999</v>
      </c>
      <c r="I868" s="299"/>
    </row>
    <row r="869" spans="1:9" hidden="1" x14ac:dyDescent="0.3">
      <c r="A869" s="298" t="s">
        <v>2089</v>
      </c>
      <c r="B869" s="298" t="s">
        <v>465</v>
      </c>
      <c r="C869" s="298" t="s">
        <v>1202</v>
      </c>
      <c r="D869" s="298" t="s">
        <v>1211</v>
      </c>
      <c r="E869" s="298">
        <v>1825.33</v>
      </c>
      <c r="F869" s="299">
        <v>0</v>
      </c>
      <c r="G869" s="299">
        <v>0</v>
      </c>
      <c r="H869" s="299">
        <f t="shared" si="9"/>
        <v>2190.3959999999997</v>
      </c>
      <c r="I869" s="299"/>
    </row>
    <row r="870" spans="1:9" hidden="1" x14ac:dyDescent="0.3">
      <c r="A870" s="298" t="s">
        <v>2091</v>
      </c>
      <c r="B870" s="298" t="s">
        <v>473</v>
      </c>
      <c r="C870" s="298" t="s">
        <v>1202</v>
      </c>
      <c r="D870" s="298" t="s">
        <v>1213</v>
      </c>
      <c r="E870" s="298">
        <v>886.71</v>
      </c>
      <c r="F870" s="299">
        <v>0</v>
      </c>
      <c r="G870" s="299">
        <v>0</v>
      </c>
      <c r="H870" s="299">
        <f t="shared" si="9"/>
        <v>1064.0520000000001</v>
      </c>
      <c r="I870" s="299"/>
    </row>
    <row r="871" spans="1:9" hidden="1" x14ac:dyDescent="0.3">
      <c r="A871" s="298" t="s">
        <v>2093</v>
      </c>
      <c r="B871" s="298" t="s">
        <v>247</v>
      </c>
      <c r="C871" s="298" t="s">
        <v>1202</v>
      </c>
      <c r="D871" s="298" t="s">
        <v>1215</v>
      </c>
      <c r="E871" s="298">
        <v>198.68</v>
      </c>
      <c r="F871" s="299">
        <v>0</v>
      </c>
      <c r="G871" s="299">
        <v>0</v>
      </c>
      <c r="H871" s="299">
        <f t="shared" si="9"/>
        <v>238.41600000000003</v>
      </c>
      <c r="I871" s="299"/>
    </row>
    <row r="872" spans="1:9" hidden="1" x14ac:dyDescent="0.3">
      <c r="A872" s="298" t="s">
        <v>2095</v>
      </c>
      <c r="B872" s="298" t="s">
        <v>485</v>
      </c>
      <c r="C872" s="298" t="s">
        <v>1202</v>
      </c>
      <c r="D872" s="298" t="s">
        <v>1217</v>
      </c>
      <c r="E872" s="298">
        <v>360</v>
      </c>
      <c r="F872" s="299">
        <v>0</v>
      </c>
      <c r="G872" s="299">
        <v>0</v>
      </c>
      <c r="H872" s="299">
        <f t="shared" si="9"/>
        <v>432</v>
      </c>
      <c r="I872" s="299"/>
    </row>
    <row r="873" spans="1:9" hidden="1" x14ac:dyDescent="0.3">
      <c r="A873" s="298" t="s">
        <v>2097</v>
      </c>
      <c r="B873" s="298" t="s">
        <v>465</v>
      </c>
      <c r="C873" s="298" t="s">
        <v>1202</v>
      </c>
      <c r="D873" s="298" t="s">
        <v>1219</v>
      </c>
      <c r="E873" s="298">
        <v>690</v>
      </c>
      <c r="F873" s="299">
        <v>0</v>
      </c>
      <c r="G873" s="299">
        <v>0</v>
      </c>
      <c r="H873" s="299">
        <f t="shared" si="9"/>
        <v>828</v>
      </c>
      <c r="I873" s="299"/>
    </row>
    <row r="874" spans="1:9" hidden="1" x14ac:dyDescent="0.3">
      <c r="A874" s="298" t="s">
        <v>2099</v>
      </c>
      <c r="B874" s="298" t="s">
        <v>412</v>
      </c>
      <c r="C874" s="298" t="s">
        <v>1202</v>
      </c>
      <c r="D874" s="298" t="s">
        <v>1221</v>
      </c>
      <c r="E874" s="298">
        <v>425</v>
      </c>
      <c r="F874" s="299">
        <v>0</v>
      </c>
      <c r="G874" s="299">
        <v>0</v>
      </c>
      <c r="H874" s="299">
        <f t="shared" si="9"/>
        <v>510</v>
      </c>
      <c r="I874" s="299"/>
    </row>
    <row r="875" spans="1:9" hidden="1" x14ac:dyDescent="0.3">
      <c r="A875" s="298" t="s">
        <v>2101</v>
      </c>
      <c r="B875" s="298" t="s">
        <v>490</v>
      </c>
      <c r="C875" s="298" t="s">
        <v>1202</v>
      </c>
      <c r="D875" s="298" t="s">
        <v>1223</v>
      </c>
      <c r="E875" s="298">
        <v>360</v>
      </c>
      <c r="F875" s="299">
        <v>0</v>
      </c>
      <c r="G875" s="299">
        <v>0</v>
      </c>
      <c r="H875" s="299">
        <f t="shared" si="9"/>
        <v>432</v>
      </c>
      <c r="I875" s="299"/>
    </row>
    <row r="876" spans="1:9" hidden="1" x14ac:dyDescent="0.3">
      <c r="A876" s="298" t="s">
        <v>2103</v>
      </c>
      <c r="B876" s="298" t="s">
        <v>511</v>
      </c>
      <c r="C876" s="298" t="s">
        <v>1202</v>
      </c>
      <c r="D876" s="298" t="s">
        <v>1225</v>
      </c>
      <c r="E876" s="298">
        <v>360</v>
      </c>
      <c r="F876" s="299">
        <v>0</v>
      </c>
      <c r="G876" s="299">
        <v>0</v>
      </c>
      <c r="H876" s="299">
        <f t="shared" si="9"/>
        <v>432</v>
      </c>
      <c r="I876" s="299"/>
    </row>
    <row r="877" spans="1:9" hidden="1" x14ac:dyDescent="0.3">
      <c r="A877" s="298" t="s">
        <v>2105</v>
      </c>
      <c r="B877" s="298" t="s">
        <v>422</v>
      </c>
      <c r="C877" s="298" t="s">
        <v>1202</v>
      </c>
      <c r="D877" s="298" t="s">
        <v>1227</v>
      </c>
      <c r="E877" s="298">
        <v>283.86</v>
      </c>
      <c r="F877" s="299">
        <v>0</v>
      </c>
      <c r="G877" s="299">
        <v>0</v>
      </c>
      <c r="H877" s="299">
        <f t="shared" si="9"/>
        <v>340.63200000000006</v>
      </c>
      <c r="I877" s="299"/>
    </row>
    <row r="878" spans="1:9" hidden="1" x14ac:dyDescent="0.3">
      <c r="A878" s="298" t="s">
        <v>2107</v>
      </c>
      <c r="B878" s="298" t="s">
        <v>280</v>
      </c>
      <c r="C878" s="298" t="s">
        <v>1202</v>
      </c>
      <c r="D878" s="298" t="s">
        <v>1229</v>
      </c>
      <c r="E878" s="298">
        <v>640.64</v>
      </c>
      <c r="F878" s="299">
        <v>0</v>
      </c>
      <c r="G878" s="299">
        <v>0</v>
      </c>
      <c r="H878" s="299">
        <f t="shared" si="9"/>
        <v>768.76799999999992</v>
      </c>
      <c r="I878" s="299"/>
    </row>
    <row r="879" spans="1:9" hidden="1" x14ac:dyDescent="0.3">
      <c r="A879" s="298" t="s">
        <v>2109</v>
      </c>
      <c r="B879" s="298" t="s">
        <v>280</v>
      </c>
      <c r="C879" s="298" t="s">
        <v>1202</v>
      </c>
      <c r="D879" s="298" t="s">
        <v>1231</v>
      </c>
      <c r="E879" s="298">
        <v>330</v>
      </c>
      <c r="F879" s="299">
        <v>0</v>
      </c>
      <c r="G879" s="299">
        <v>0</v>
      </c>
      <c r="H879" s="299">
        <f t="shared" si="9"/>
        <v>396</v>
      </c>
      <c r="I879" s="299"/>
    </row>
    <row r="880" spans="1:9" hidden="1" x14ac:dyDescent="0.3">
      <c r="A880" s="298" t="s">
        <v>2111</v>
      </c>
      <c r="B880" s="298" t="s">
        <v>280</v>
      </c>
      <c r="C880" s="298" t="s">
        <v>1202</v>
      </c>
      <c r="D880" s="298" t="s">
        <v>1233</v>
      </c>
      <c r="E880" s="298">
        <v>1201.92</v>
      </c>
      <c r="F880" s="299">
        <v>0</v>
      </c>
      <c r="G880" s="299">
        <v>0</v>
      </c>
      <c r="H880" s="299">
        <f t="shared" si="9"/>
        <v>1442.3040000000001</v>
      </c>
      <c r="I880" s="299"/>
    </row>
    <row r="881" spans="1:9" hidden="1" x14ac:dyDescent="0.3">
      <c r="A881" s="298" t="s">
        <v>2113</v>
      </c>
      <c r="B881" s="298" t="s">
        <v>280</v>
      </c>
      <c r="C881" s="298" t="s">
        <v>1202</v>
      </c>
      <c r="D881" s="298" t="s">
        <v>1235</v>
      </c>
      <c r="E881" s="298">
        <v>640.64</v>
      </c>
      <c r="F881" s="299">
        <v>0</v>
      </c>
      <c r="G881" s="299">
        <v>0</v>
      </c>
      <c r="H881" s="299">
        <f t="shared" si="9"/>
        <v>768.76799999999992</v>
      </c>
      <c r="I881" s="299"/>
    </row>
    <row r="882" spans="1:9" hidden="1" x14ac:dyDescent="0.3">
      <c r="A882" s="298" t="s">
        <v>2116</v>
      </c>
      <c r="B882" s="298" t="s">
        <v>280</v>
      </c>
      <c r="C882" s="298" t="s">
        <v>1202</v>
      </c>
      <c r="D882" s="298" t="s">
        <v>1237</v>
      </c>
      <c r="E882" s="298">
        <v>280.64</v>
      </c>
      <c r="F882" s="299">
        <v>0</v>
      </c>
      <c r="G882" s="299">
        <v>0</v>
      </c>
      <c r="H882" s="299">
        <f t="shared" si="9"/>
        <v>336.76800000000003</v>
      </c>
      <c r="I882" s="299"/>
    </row>
    <row r="883" spans="1:9" x14ac:dyDescent="0.3">
      <c r="A883" s="298" t="s">
        <v>2118</v>
      </c>
      <c r="B883" s="298" t="s">
        <v>287</v>
      </c>
      <c r="C883" s="298" t="s">
        <v>1202</v>
      </c>
      <c r="D883" s="298" t="s">
        <v>1239</v>
      </c>
      <c r="E883" s="298">
        <v>620</v>
      </c>
      <c r="F883" s="299">
        <v>0</v>
      </c>
      <c r="G883" s="299">
        <v>0</v>
      </c>
      <c r="H883" s="299">
        <f t="shared" si="9"/>
        <v>744</v>
      </c>
      <c r="I883" s="299"/>
    </row>
    <row r="884" spans="1:9" hidden="1" x14ac:dyDescent="0.3">
      <c r="A884" s="298" t="s">
        <v>2120</v>
      </c>
      <c r="B884" s="298" t="s">
        <v>412</v>
      </c>
      <c r="C884" s="298" t="s">
        <v>1202</v>
      </c>
      <c r="D884" s="298" t="s">
        <v>1241</v>
      </c>
      <c r="E884" s="298">
        <v>873.03</v>
      </c>
      <c r="F884" s="299">
        <v>0</v>
      </c>
      <c r="G884" s="299">
        <v>0</v>
      </c>
      <c r="H884" s="299">
        <f t="shared" si="9"/>
        <v>1047.636</v>
      </c>
      <c r="I884" s="299"/>
    </row>
    <row r="885" spans="1:9" hidden="1" x14ac:dyDescent="0.3">
      <c r="A885" s="298" t="s">
        <v>2122</v>
      </c>
      <c r="B885" s="298" t="s">
        <v>412</v>
      </c>
      <c r="C885" s="298" t="s">
        <v>1202</v>
      </c>
      <c r="D885" s="298" t="s">
        <v>1243</v>
      </c>
      <c r="E885" s="298">
        <v>1080.75</v>
      </c>
      <c r="F885" s="299">
        <v>0</v>
      </c>
      <c r="G885" s="299">
        <v>0</v>
      </c>
      <c r="H885" s="299">
        <f t="shared" si="9"/>
        <v>1296.9000000000001</v>
      </c>
      <c r="I885" s="299"/>
    </row>
    <row r="886" spans="1:9" hidden="1" x14ac:dyDescent="0.3">
      <c r="A886" s="298" t="s">
        <v>2124</v>
      </c>
      <c r="B886" s="298" t="s">
        <v>412</v>
      </c>
      <c r="C886" s="298" t="s">
        <v>1202</v>
      </c>
      <c r="D886" s="298" t="s">
        <v>1245</v>
      </c>
      <c r="E886" s="298">
        <v>1564.6</v>
      </c>
      <c r="F886" s="299">
        <v>0</v>
      </c>
      <c r="G886" s="299">
        <v>0</v>
      </c>
      <c r="H886" s="299">
        <f t="shared" si="9"/>
        <v>1877.5199999999998</v>
      </c>
      <c r="I886" s="299"/>
    </row>
    <row r="887" spans="1:9" hidden="1" x14ac:dyDescent="0.3">
      <c r="A887" s="298" t="s">
        <v>2126</v>
      </c>
      <c r="B887" s="298" t="s">
        <v>558</v>
      </c>
      <c r="C887" s="298" t="s">
        <v>1202</v>
      </c>
      <c r="D887" s="298" t="s">
        <v>1247</v>
      </c>
      <c r="E887" s="298">
        <v>247.5</v>
      </c>
      <c r="F887" s="299">
        <v>0</v>
      </c>
      <c r="G887" s="299">
        <v>0</v>
      </c>
      <c r="H887" s="299">
        <f t="shared" si="9"/>
        <v>297</v>
      </c>
      <c r="I887" s="299"/>
    </row>
    <row r="888" spans="1:9" hidden="1" x14ac:dyDescent="0.3">
      <c r="A888" s="298" t="s">
        <v>2128</v>
      </c>
      <c r="B888" s="298" t="s">
        <v>561</v>
      </c>
      <c r="C888" s="298" t="s">
        <v>1202</v>
      </c>
      <c r="D888" s="298" t="s">
        <v>1249</v>
      </c>
      <c r="E888" s="298">
        <v>720</v>
      </c>
      <c r="F888" s="299">
        <v>0</v>
      </c>
      <c r="G888" s="299">
        <v>0</v>
      </c>
      <c r="H888" s="299">
        <f t="shared" si="9"/>
        <v>864</v>
      </c>
      <c r="I888" s="299"/>
    </row>
    <row r="889" spans="1:9" hidden="1" x14ac:dyDescent="0.3">
      <c r="A889" s="298" t="s">
        <v>2130</v>
      </c>
      <c r="B889" s="298" t="s">
        <v>290</v>
      </c>
      <c r="C889" s="298" t="s">
        <v>1202</v>
      </c>
      <c r="D889" s="298" t="s">
        <v>1251</v>
      </c>
      <c r="E889" s="298">
        <v>1525</v>
      </c>
      <c r="F889" s="299">
        <v>0</v>
      </c>
      <c r="G889" s="299">
        <v>0</v>
      </c>
      <c r="H889" s="299">
        <f t="shared" si="9"/>
        <v>1830</v>
      </c>
      <c r="I889" s="299"/>
    </row>
    <row r="890" spans="1:9" hidden="1" x14ac:dyDescent="0.3">
      <c r="A890" s="298" t="s">
        <v>2132</v>
      </c>
      <c r="B890" s="298" t="s">
        <v>422</v>
      </c>
      <c r="C890" s="298" t="s">
        <v>1654</v>
      </c>
      <c r="D890" s="298" t="s">
        <v>1655</v>
      </c>
      <c r="E890" s="298">
        <v>22124.18</v>
      </c>
      <c r="F890" s="299">
        <v>25000</v>
      </c>
      <c r="G890" s="299">
        <v>30000</v>
      </c>
      <c r="H890" s="299">
        <f t="shared" si="9"/>
        <v>26549.016000000003</v>
      </c>
      <c r="I890" s="299"/>
    </row>
    <row r="891" spans="1:9" hidden="1" x14ac:dyDescent="0.3">
      <c r="A891" s="298" t="s">
        <v>2134</v>
      </c>
      <c r="B891" s="298" t="s">
        <v>422</v>
      </c>
      <c r="C891" s="298" t="s">
        <v>1654</v>
      </c>
      <c r="D891" s="298" t="s">
        <v>1657</v>
      </c>
      <c r="E891" s="298">
        <v>1782.82</v>
      </c>
      <c r="F891" s="299">
        <v>0</v>
      </c>
      <c r="G891" s="299">
        <v>0</v>
      </c>
      <c r="H891" s="299">
        <f t="shared" si="9"/>
        <v>2139.384</v>
      </c>
      <c r="I891" s="299"/>
    </row>
    <row r="892" spans="1:9" hidden="1" x14ac:dyDescent="0.3">
      <c r="A892" s="298" t="s">
        <v>2136</v>
      </c>
      <c r="B892" s="298" t="s">
        <v>412</v>
      </c>
      <c r="C892" s="298" t="s">
        <v>1654</v>
      </c>
      <c r="D892" s="298" t="s">
        <v>1659</v>
      </c>
      <c r="E892" s="298">
        <v>748.37</v>
      </c>
      <c r="F892" s="299">
        <v>0</v>
      </c>
      <c r="G892" s="299">
        <v>0</v>
      </c>
      <c r="H892" s="299">
        <f t="shared" si="9"/>
        <v>898.0440000000001</v>
      </c>
      <c r="I892" s="299"/>
    </row>
    <row r="893" spans="1:9" hidden="1" x14ac:dyDescent="0.3">
      <c r="A893" s="298" t="s">
        <v>2138</v>
      </c>
      <c r="B893" s="298" t="s">
        <v>422</v>
      </c>
      <c r="C893" s="298" t="s">
        <v>1864</v>
      </c>
      <c r="D893" s="298" t="s">
        <v>55</v>
      </c>
      <c r="E893" s="298">
        <v>86870.04</v>
      </c>
      <c r="F893" s="299">
        <v>77418.92</v>
      </c>
      <c r="G893" s="299">
        <v>0</v>
      </c>
      <c r="H893" s="299">
        <f t="shared" si="9"/>
        <v>104244.04799999998</v>
      </c>
      <c r="I893" s="299"/>
    </row>
    <row r="894" spans="1:9" hidden="1" x14ac:dyDescent="0.3">
      <c r="A894" s="298" t="s">
        <v>2140</v>
      </c>
      <c r="B894" s="298" t="s">
        <v>293</v>
      </c>
      <c r="C894" s="298" t="s">
        <v>1864</v>
      </c>
      <c r="D894" s="298" t="s">
        <v>1870</v>
      </c>
      <c r="E894" s="298">
        <v>1200</v>
      </c>
      <c r="F894" s="299">
        <v>1200</v>
      </c>
      <c r="G894" s="299">
        <v>1200</v>
      </c>
      <c r="H894" s="299">
        <f t="shared" si="9"/>
        <v>1440</v>
      </c>
      <c r="I894" s="299"/>
    </row>
    <row r="895" spans="1:9" hidden="1" x14ac:dyDescent="0.3">
      <c r="A895" s="298" t="s">
        <v>2142</v>
      </c>
      <c r="B895" s="298" t="s">
        <v>293</v>
      </c>
      <c r="C895" s="298" t="s">
        <v>1864</v>
      </c>
      <c r="D895" s="298" t="s">
        <v>1872</v>
      </c>
      <c r="E895" s="298">
        <v>1200</v>
      </c>
      <c r="F895" s="299">
        <v>1200</v>
      </c>
      <c r="G895" s="299">
        <v>1200</v>
      </c>
      <c r="H895" s="299">
        <f t="shared" si="9"/>
        <v>1440</v>
      </c>
      <c r="I895" s="299"/>
    </row>
    <row r="896" spans="1:9" hidden="1" x14ac:dyDescent="0.3">
      <c r="A896" s="298" t="s">
        <v>2144</v>
      </c>
      <c r="B896" s="298" t="s">
        <v>293</v>
      </c>
      <c r="C896" s="298" t="s">
        <v>1864</v>
      </c>
      <c r="D896" s="298" t="s">
        <v>1874</v>
      </c>
      <c r="E896" s="298">
        <v>1200</v>
      </c>
      <c r="F896" s="299">
        <v>1200</v>
      </c>
      <c r="G896" s="299">
        <v>1200</v>
      </c>
      <c r="H896" s="299">
        <f t="shared" si="9"/>
        <v>1440</v>
      </c>
      <c r="I896" s="299"/>
    </row>
    <row r="897" spans="1:9" hidden="1" x14ac:dyDescent="0.3">
      <c r="A897" s="298" t="s">
        <v>2146</v>
      </c>
      <c r="B897" s="298" t="s">
        <v>293</v>
      </c>
      <c r="C897" s="298" t="s">
        <v>1864</v>
      </c>
      <c r="D897" s="298" t="s">
        <v>1876</v>
      </c>
      <c r="E897" s="298">
        <v>37326</v>
      </c>
      <c r="F897" s="299">
        <v>34000</v>
      </c>
      <c r="G897" s="299">
        <v>1200</v>
      </c>
      <c r="H897" s="299">
        <f t="shared" si="9"/>
        <v>44791.199999999997</v>
      </c>
      <c r="I897" s="299"/>
    </row>
    <row r="898" spans="1:9" hidden="1" x14ac:dyDescent="0.3">
      <c r="A898" s="298" t="s">
        <v>2148</v>
      </c>
      <c r="B898" s="298" t="s">
        <v>1423</v>
      </c>
      <c r="C898" s="298" t="s">
        <v>1273</v>
      </c>
      <c r="D898" s="298" t="s">
        <v>2726</v>
      </c>
      <c r="E898" s="298">
        <v>16598.18</v>
      </c>
      <c r="F898" s="299">
        <v>0</v>
      </c>
      <c r="G898" s="299">
        <v>0</v>
      </c>
      <c r="H898" s="299">
        <f t="shared" si="9"/>
        <v>19917.815999999999</v>
      </c>
      <c r="I898" s="299"/>
    </row>
    <row r="899" spans="1:9" hidden="1" x14ac:dyDescent="0.3">
      <c r="A899" s="298" t="s">
        <v>2150</v>
      </c>
      <c r="B899" s="298" t="s">
        <v>511</v>
      </c>
      <c r="C899" s="298" t="s">
        <v>1273</v>
      </c>
      <c r="D899" s="298" t="s">
        <v>2727</v>
      </c>
      <c r="E899" s="298">
        <v>-150</v>
      </c>
      <c r="F899" s="299">
        <v>0</v>
      </c>
      <c r="G899" s="299">
        <v>0</v>
      </c>
      <c r="H899" s="299">
        <f t="shared" si="9"/>
        <v>-180</v>
      </c>
      <c r="I899" s="299"/>
    </row>
    <row r="900" spans="1:9" hidden="1" x14ac:dyDescent="0.3">
      <c r="A900" s="298" t="s">
        <v>2152</v>
      </c>
      <c r="B900" s="298" t="s">
        <v>1468</v>
      </c>
      <c r="C900" s="298" t="s">
        <v>1273</v>
      </c>
      <c r="D900" s="298" t="s">
        <v>2728</v>
      </c>
      <c r="E900" s="298">
        <v>23690</v>
      </c>
      <c r="F900" s="299">
        <v>0</v>
      </c>
      <c r="G900" s="299">
        <v>0</v>
      </c>
      <c r="H900" s="299">
        <f t="shared" si="9"/>
        <v>28428</v>
      </c>
      <c r="I900" s="299"/>
    </row>
    <row r="901" spans="1:9" x14ac:dyDescent="0.3">
      <c r="A901" s="298" t="s">
        <v>2154</v>
      </c>
      <c r="B901" s="298" t="s">
        <v>287</v>
      </c>
      <c r="C901" s="298" t="s">
        <v>1273</v>
      </c>
      <c r="D901" s="298" t="s">
        <v>2729</v>
      </c>
      <c r="E901" s="298">
        <v>393.91</v>
      </c>
      <c r="F901" s="299">
        <v>0</v>
      </c>
      <c r="G901" s="299">
        <v>0</v>
      </c>
      <c r="H901" s="299">
        <f t="shared" si="9"/>
        <v>472.69200000000006</v>
      </c>
      <c r="I901" s="299"/>
    </row>
    <row r="902" spans="1:9" hidden="1" x14ac:dyDescent="0.3">
      <c r="A902" s="298" t="s">
        <v>2156</v>
      </c>
      <c r="B902" s="298" t="s">
        <v>293</v>
      </c>
      <c r="C902" s="298" t="s">
        <v>1273</v>
      </c>
      <c r="D902" s="298" t="s">
        <v>2440</v>
      </c>
      <c r="E902" s="298">
        <v>0</v>
      </c>
      <c r="F902" s="299">
        <v>19615</v>
      </c>
      <c r="G902" s="299">
        <v>0</v>
      </c>
      <c r="H902" s="299">
        <f t="shared" si="9"/>
        <v>0</v>
      </c>
      <c r="I902" s="299"/>
    </row>
    <row r="903" spans="1:9" hidden="1" x14ac:dyDescent="0.3">
      <c r="A903" s="298" t="s">
        <v>2158</v>
      </c>
      <c r="B903" s="298" t="s">
        <v>1583</v>
      </c>
      <c r="C903" s="298" t="s">
        <v>1273</v>
      </c>
      <c r="D903" s="298" t="s">
        <v>1584</v>
      </c>
      <c r="E903" s="298">
        <v>1279.47</v>
      </c>
      <c r="F903" s="299">
        <v>1416.7</v>
      </c>
      <c r="G903" s="299">
        <v>1700</v>
      </c>
      <c r="H903" s="299">
        <f t="shared" si="9"/>
        <v>1535.364</v>
      </c>
      <c r="I903" s="299"/>
    </row>
    <row r="904" spans="1:9" hidden="1" x14ac:dyDescent="0.3">
      <c r="A904" s="298" t="s">
        <v>2160</v>
      </c>
      <c r="B904" s="298" t="s">
        <v>251</v>
      </c>
      <c r="C904" s="298" t="s">
        <v>1273</v>
      </c>
      <c r="D904" s="298" t="s">
        <v>1594</v>
      </c>
      <c r="E904" s="298">
        <v>1046.7</v>
      </c>
      <c r="F904" s="299">
        <v>1000</v>
      </c>
      <c r="G904" s="299">
        <v>1200</v>
      </c>
      <c r="H904" s="299">
        <f t="shared" si="9"/>
        <v>1256.04</v>
      </c>
      <c r="I904" s="299"/>
    </row>
    <row r="905" spans="1:9" hidden="1" x14ac:dyDescent="0.3">
      <c r="A905" s="298" t="s">
        <v>2162</v>
      </c>
      <c r="B905" s="298" t="s">
        <v>260</v>
      </c>
      <c r="C905" s="298" t="s">
        <v>1273</v>
      </c>
      <c r="D905" s="298" t="s">
        <v>1274</v>
      </c>
      <c r="E905" s="298">
        <v>0</v>
      </c>
      <c r="F905" s="299">
        <v>6666.7</v>
      </c>
      <c r="G905" s="299">
        <v>8000</v>
      </c>
      <c r="H905" s="299">
        <f t="shared" si="9"/>
        <v>0</v>
      </c>
      <c r="I905" s="299"/>
    </row>
    <row r="906" spans="1:9" hidden="1" x14ac:dyDescent="0.3">
      <c r="A906" s="298" t="s">
        <v>2164</v>
      </c>
      <c r="B906" s="298" t="s">
        <v>303</v>
      </c>
      <c r="C906" s="298" t="s">
        <v>1273</v>
      </c>
      <c r="D906" s="298" t="s">
        <v>1276</v>
      </c>
      <c r="E906" s="298">
        <v>0</v>
      </c>
      <c r="F906" s="299">
        <v>5916.7</v>
      </c>
      <c r="G906" s="299">
        <v>7100</v>
      </c>
      <c r="H906" s="299">
        <f t="shared" si="9"/>
        <v>0</v>
      </c>
      <c r="I906" s="299"/>
    </row>
    <row r="907" spans="1:9" hidden="1" x14ac:dyDescent="0.3">
      <c r="A907" s="298" t="s">
        <v>2166</v>
      </c>
      <c r="B907" s="298" t="s">
        <v>283</v>
      </c>
      <c r="C907" s="298" t="s">
        <v>1273</v>
      </c>
      <c r="D907" s="298" t="s">
        <v>1278</v>
      </c>
      <c r="E907" s="298">
        <v>0</v>
      </c>
      <c r="F907" s="299">
        <v>54583.3</v>
      </c>
      <c r="G907" s="299">
        <v>65500</v>
      </c>
      <c r="H907" s="299">
        <f t="shared" si="9"/>
        <v>0</v>
      </c>
      <c r="I907" s="299"/>
    </row>
    <row r="908" spans="1:9" x14ac:dyDescent="0.3">
      <c r="A908" s="298" t="s">
        <v>2168</v>
      </c>
      <c r="B908" s="298" t="s">
        <v>287</v>
      </c>
      <c r="C908" s="298" t="s">
        <v>1273</v>
      </c>
      <c r="D908" s="298" t="s">
        <v>1280</v>
      </c>
      <c r="E908" s="298">
        <v>0</v>
      </c>
      <c r="F908" s="299">
        <v>41666.699999999997</v>
      </c>
      <c r="G908" s="299">
        <v>50000</v>
      </c>
      <c r="H908" s="299">
        <f t="shared" si="9"/>
        <v>0</v>
      </c>
      <c r="I908" s="299"/>
    </row>
    <row r="909" spans="1:9" hidden="1" x14ac:dyDescent="0.3">
      <c r="A909" s="298" t="s">
        <v>2170</v>
      </c>
      <c r="B909" s="298" t="s">
        <v>306</v>
      </c>
      <c r="C909" s="298" t="s">
        <v>1273</v>
      </c>
      <c r="D909" s="298" t="s">
        <v>1282</v>
      </c>
      <c r="E909" s="298">
        <v>0</v>
      </c>
      <c r="F909" s="299">
        <v>6666.7</v>
      </c>
      <c r="G909" s="299">
        <v>8000</v>
      </c>
      <c r="H909" s="299">
        <f t="shared" si="9"/>
        <v>0</v>
      </c>
      <c r="I909" s="299"/>
    </row>
    <row r="910" spans="1:9" hidden="1" x14ac:dyDescent="0.3">
      <c r="A910" s="298" t="s">
        <v>2172</v>
      </c>
      <c r="B910" s="298" t="s">
        <v>422</v>
      </c>
      <c r="C910" s="298" t="s">
        <v>1273</v>
      </c>
      <c r="D910" s="298" t="s">
        <v>1797</v>
      </c>
      <c r="E910" s="298">
        <v>378.57</v>
      </c>
      <c r="F910" s="299">
        <v>0</v>
      </c>
      <c r="G910" s="299">
        <v>0</v>
      </c>
      <c r="H910" s="299">
        <f t="shared" si="9"/>
        <v>454.28399999999999</v>
      </c>
      <c r="I910" s="299"/>
    </row>
    <row r="911" spans="1:9" hidden="1" x14ac:dyDescent="0.3">
      <c r="A911" s="298" t="s">
        <v>2174</v>
      </c>
      <c r="B911" s="298" t="s">
        <v>251</v>
      </c>
      <c r="C911" s="298" t="s">
        <v>1273</v>
      </c>
      <c r="D911" s="298" t="s">
        <v>1801</v>
      </c>
      <c r="E911" s="298">
        <v>374.62</v>
      </c>
      <c r="F911" s="299">
        <v>0</v>
      </c>
      <c r="G911" s="299">
        <v>0</v>
      </c>
      <c r="H911" s="299">
        <f t="shared" si="9"/>
        <v>449.54400000000004</v>
      </c>
      <c r="I911" s="299"/>
    </row>
    <row r="912" spans="1:9" hidden="1" x14ac:dyDescent="0.3">
      <c r="A912" s="298" t="s">
        <v>2176</v>
      </c>
      <c r="B912" s="298" t="s">
        <v>280</v>
      </c>
      <c r="C912" s="298" t="s">
        <v>1273</v>
      </c>
      <c r="D912" s="298" t="s">
        <v>1805</v>
      </c>
      <c r="E912" s="298">
        <v>300</v>
      </c>
      <c r="F912" s="299">
        <v>0</v>
      </c>
      <c r="G912" s="299">
        <v>0</v>
      </c>
      <c r="H912" s="299">
        <f t="shared" si="9"/>
        <v>360</v>
      </c>
      <c r="I912" s="299"/>
    </row>
    <row r="913" spans="1:9" hidden="1" x14ac:dyDescent="0.3">
      <c r="A913" s="298" t="s">
        <v>2178</v>
      </c>
      <c r="B913" s="298" t="s">
        <v>412</v>
      </c>
      <c r="C913" s="298" t="s">
        <v>1273</v>
      </c>
      <c r="D913" s="298" t="s">
        <v>1809</v>
      </c>
      <c r="E913" s="298">
        <v>133.05000000000001</v>
      </c>
      <c r="F913" s="299">
        <v>0</v>
      </c>
      <c r="G913" s="299">
        <v>0</v>
      </c>
      <c r="H913" s="299">
        <f t="shared" si="9"/>
        <v>159.66000000000003</v>
      </c>
      <c r="I913" s="299"/>
    </row>
    <row r="914" spans="1:9" hidden="1" x14ac:dyDescent="0.3">
      <c r="A914" s="298" t="s">
        <v>2180</v>
      </c>
      <c r="B914" s="298" t="s">
        <v>293</v>
      </c>
      <c r="C914" s="298" t="s">
        <v>1273</v>
      </c>
      <c r="D914" s="298" t="s">
        <v>1811</v>
      </c>
      <c r="E914" s="298">
        <v>100</v>
      </c>
      <c r="F914" s="299">
        <v>0</v>
      </c>
      <c r="G914" s="299">
        <v>0</v>
      </c>
      <c r="H914" s="299">
        <f t="shared" si="9"/>
        <v>120</v>
      </c>
      <c r="I914" s="299"/>
    </row>
    <row r="915" spans="1:9" hidden="1" x14ac:dyDescent="0.3">
      <c r="A915" s="298" t="s">
        <v>2182</v>
      </c>
      <c r="B915" s="298" t="s">
        <v>251</v>
      </c>
      <c r="C915" s="298" t="s">
        <v>1273</v>
      </c>
      <c r="D915" s="298" t="s">
        <v>1815</v>
      </c>
      <c r="E915" s="298">
        <v>136.43</v>
      </c>
      <c r="F915" s="299">
        <v>0</v>
      </c>
      <c r="G915" s="299">
        <v>0</v>
      </c>
      <c r="H915" s="299">
        <f t="shared" si="9"/>
        <v>163.71600000000001</v>
      </c>
      <c r="I915" s="299"/>
    </row>
    <row r="916" spans="1:9" hidden="1" x14ac:dyDescent="0.3">
      <c r="A916" s="298" t="s">
        <v>2184</v>
      </c>
      <c r="B916" s="298" t="s">
        <v>290</v>
      </c>
      <c r="C916" s="298" t="s">
        <v>1273</v>
      </c>
      <c r="D916" s="298" t="s">
        <v>1817</v>
      </c>
      <c r="E916" s="298">
        <v>2636.52</v>
      </c>
      <c r="F916" s="299">
        <v>0</v>
      </c>
      <c r="G916" s="299">
        <v>0</v>
      </c>
      <c r="H916" s="299">
        <f t="shared" si="9"/>
        <v>3163.8239999999996</v>
      </c>
      <c r="I916" s="299"/>
    </row>
    <row r="917" spans="1:9" hidden="1" x14ac:dyDescent="0.3">
      <c r="A917" s="298" t="s">
        <v>2186</v>
      </c>
      <c r="B917" s="298" t="s">
        <v>402</v>
      </c>
      <c r="C917" s="298" t="s">
        <v>1273</v>
      </c>
      <c r="D917" s="298" t="s">
        <v>2446</v>
      </c>
      <c r="E917" s="298">
        <v>129.5</v>
      </c>
      <c r="F917" s="299">
        <v>0</v>
      </c>
      <c r="G917" s="299">
        <v>7800</v>
      </c>
      <c r="H917" s="299">
        <f t="shared" si="9"/>
        <v>155.39999999999998</v>
      </c>
      <c r="I917" s="299"/>
    </row>
    <row r="918" spans="1:9" hidden="1" x14ac:dyDescent="0.3">
      <c r="A918" s="298" t="s">
        <v>2188</v>
      </c>
      <c r="B918" s="298" t="s">
        <v>422</v>
      </c>
      <c r="C918" s="298" t="s">
        <v>1273</v>
      </c>
      <c r="D918" s="298" t="s">
        <v>1839</v>
      </c>
      <c r="E918" s="298">
        <v>13916.33</v>
      </c>
      <c r="F918" s="299">
        <v>33333.300000000003</v>
      </c>
      <c r="G918" s="299">
        <v>0</v>
      </c>
      <c r="H918" s="299">
        <f t="shared" si="9"/>
        <v>16699.596000000001</v>
      </c>
      <c r="I918" s="299"/>
    </row>
    <row r="919" spans="1:9" hidden="1" x14ac:dyDescent="0.3">
      <c r="A919" s="298" t="s">
        <v>2190</v>
      </c>
      <c r="B919" s="298" t="s">
        <v>454</v>
      </c>
      <c r="C919" s="298" t="s">
        <v>1273</v>
      </c>
      <c r="D919" s="298" t="s">
        <v>1841</v>
      </c>
      <c r="E919" s="298">
        <v>3526.02</v>
      </c>
      <c r="F919" s="299">
        <v>4166.7</v>
      </c>
      <c r="G919" s="299">
        <v>40000</v>
      </c>
      <c r="H919" s="299">
        <f t="shared" si="9"/>
        <v>4231.2240000000002</v>
      </c>
      <c r="I919" s="299"/>
    </row>
    <row r="920" spans="1:9" hidden="1" x14ac:dyDescent="0.3">
      <c r="A920" s="298" t="s">
        <v>2192</v>
      </c>
      <c r="B920" s="298" t="s">
        <v>457</v>
      </c>
      <c r="C920" s="298" t="s">
        <v>1273</v>
      </c>
      <c r="D920" s="298" t="s">
        <v>1843</v>
      </c>
      <c r="E920" s="298">
        <v>100</v>
      </c>
      <c r="F920" s="299">
        <v>4166.7</v>
      </c>
      <c r="G920" s="299">
        <v>5000</v>
      </c>
      <c r="H920" s="299">
        <f t="shared" si="9"/>
        <v>120</v>
      </c>
      <c r="I920" s="299"/>
    </row>
    <row r="921" spans="1:9" hidden="1" x14ac:dyDescent="0.3">
      <c r="A921" s="298" t="s">
        <v>2194</v>
      </c>
      <c r="B921" s="298" t="s">
        <v>422</v>
      </c>
      <c r="C921" s="298" t="s">
        <v>1273</v>
      </c>
      <c r="D921" s="298" t="s">
        <v>1848</v>
      </c>
      <c r="E921" s="298">
        <v>1138.71</v>
      </c>
      <c r="F921" s="299">
        <v>0</v>
      </c>
      <c r="G921" s="299">
        <v>25000</v>
      </c>
      <c r="H921" s="299">
        <f t="shared" si="9"/>
        <v>1366.4520000000002</v>
      </c>
      <c r="I921" s="299"/>
    </row>
    <row r="922" spans="1:9" hidden="1" x14ac:dyDescent="0.3">
      <c r="A922" s="298" t="s">
        <v>2196</v>
      </c>
      <c r="B922" s="298" t="s">
        <v>251</v>
      </c>
      <c r="C922" s="298" t="s">
        <v>1273</v>
      </c>
      <c r="D922" s="298" t="s">
        <v>1850</v>
      </c>
      <c r="E922" s="298">
        <v>84</v>
      </c>
      <c r="F922" s="299">
        <v>0</v>
      </c>
      <c r="G922" s="299">
        <v>0</v>
      </c>
      <c r="H922" s="299">
        <f t="shared" si="9"/>
        <v>100.80000000000001</v>
      </c>
      <c r="I922" s="299"/>
    </row>
    <row r="923" spans="1:9" hidden="1" x14ac:dyDescent="0.3">
      <c r="A923" s="298" t="s">
        <v>2198</v>
      </c>
      <c r="B923" s="298" t="s">
        <v>422</v>
      </c>
      <c r="C923" s="298" t="s">
        <v>1273</v>
      </c>
      <c r="D923" s="298" t="s">
        <v>1852</v>
      </c>
      <c r="E923" s="298">
        <v>440.5</v>
      </c>
      <c r="F923" s="299">
        <v>0</v>
      </c>
      <c r="G923" s="299">
        <v>0</v>
      </c>
      <c r="H923" s="299">
        <f t="shared" si="9"/>
        <v>528.59999999999991</v>
      </c>
      <c r="I923" s="299"/>
    </row>
    <row r="924" spans="1:9" hidden="1" x14ac:dyDescent="0.3">
      <c r="A924" s="298" t="s">
        <v>2201</v>
      </c>
      <c r="B924" s="298" t="s">
        <v>412</v>
      </c>
      <c r="C924" s="298" t="s">
        <v>1273</v>
      </c>
      <c r="D924" s="298" t="s">
        <v>1856</v>
      </c>
      <c r="E924" s="298">
        <v>33.950000000000003</v>
      </c>
      <c r="F924" s="299">
        <v>0</v>
      </c>
      <c r="G924" s="299">
        <v>5000</v>
      </c>
      <c r="H924" s="299">
        <f t="shared" si="9"/>
        <v>40.740000000000009</v>
      </c>
      <c r="I924" s="299"/>
    </row>
    <row r="925" spans="1:9" hidden="1" x14ac:dyDescent="0.3">
      <c r="A925" s="298" t="s">
        <v>2203</v>
      </c>
      <c r="B925" s="298" t="s">
        <v>1684</v>
      </c>
      <c r="C925" s="298" t="s">
        <v>1273</v>
      </c>
      <c r="D925" s="298" t="s">
        <v>1860</v>
      </c>
      <c r="E925" s="298">
        <v>21163.62</v>
      </c>
      <c r="F925" s="299">
        <v>8333.2999999999993</v>
      </c>
      <c r="G925" s="299">
        <v>10000</v>
      </c>
      <c r="H925" s="299">
        <f t="shared" si="9"/>
        <v>25396.344000000001</v>
      </c>
      <c r="I925" s="299"/>
    </row>
    <row r="926" spans="1:9" hidden="1" x14ac:dyDescent="0.3">
      <c r="A926" s="298" t="s">
        <v>2205</v>
      </c>
      <c r="B926" s="298" t="s">
        <v>293</v>
      </c>
      <c r="C926" s="298" t="s">
        <v>1273</v>
      </c>
      <c r="D926" s="298" t="s">
        <v>1862</v>
      </c>
      <c r="E926" s="298">
        <v>2677</v>
      </c>
      <c r="F926" s="299">
        <v>0</v>
      </c>
      <c r="G926" s="299">
        <v>10000</v>
      </c>
      <c r="H926" s="299">
        <f t="shared" si="9"/>
        <v>3212.3999999999996</v>
      </c>
      <c r="I926" s="299"/>
    </row>
    <row r="927" spans="1:9" hidden="1" x14ac:dyDescent="0.3">
      <c r="A927" s="298" t="s">
        <v>2207</v>
      </c>
      <c r="B927" s="298" t="s">
        <v>257</v>
      </c>
      <c r="C927" s="298" t="s">
        <v>1273</v>
      </c>
      <c r="D927" s="298" t="s">
        <v>1474</v>
      </c>
      <c r="E927" s="298">
        <v>2808.59</v>
      </c>
      <c r="F927" s="299">
        <v>2100</v>
      </c>
      <c r="G927" s="299">
        <v>2520</v>
      </c>
      <c r="H927" s="299">
        <f t="shared" si="9"/>
        <v>3370.3080000000004</v>
      </c>
      <c r="I927" s="299"/>
    </row>
    <row r="928" spans="1:9" hidden="1" x14ac:dyDescent="0.3">
      <c r="A928" s="298" t="s">
        <v>2209</v>
      </c>
      <c r="B928" s="298" t="s">
        <v>490</v>
      </c>
      <c r="C928" s="298" t="s">
        <v>1273</v>
      </c>
      <c r="D928" s="298" t="s">
        <v>1476</v>
      </c>
      <c r="E928" s="298">
        <v>119.25</v>
      </c>
      <c r="F928" s="299">
        <v>250</v>
      </c>
      <c r="G928" s="299">
        <v>300</v>
      </c>
      <c r="H928" s="299">
        <f t="shared" si="9"/>
        <v>143.10000000000002</v>
      </c>
      <c r="I928" s="299"/>
    </row>
    <row r="929" spans="1:9" x14ac:dyDescent="0.3">
      <c r="A929" s="298" t="s">
        <v>2211</v>
      </c>
      <c r="B929" s="298" t="s">
        <v>287</v>
      </c>
      <c r="C929" s="298" t="s">
        <v>1273</v>
      </c>
      <c r="D929" s="298" t="s">
        <v>1491</v>
      </c>
      <c r="E929" s="298">
        <v>0</v>
      </c>
      <c r="F929" s="299">
        <v>3000</v>
      </c>
      <c r="G929" s="299">
        <v>3600</v>
      </c>
      <c r="H929" s="299">
        <f t="shared" si="9"/>
        <v>0</v>
      </c>
      <c r="I929" s="299"/>
    </row>
    <row r="930" spans="1:9" hidden="1" x14ac:dyDescent="0.3">
      <c r="A930" s="298" t="s">
        <v>2213</v>
      </c>
      <c r="B930" s="298" t="s">
        <v>402</v>
      </c>
      <c r="C930" s="298" t="s">
        <v>1478</v>
      </c>
      <c r="D930" s="298" t="s">
        <v>2442</v>
      </c>
      <c r="E930" s="298">
        <v>1013.65</v>
      </c>
      <c r="F930" s="299">
        <v>0</v>
      </c>
      <c r="G930" s="299">
        <v>0</v>
      </c>
      <c r="H930" s="299">
        <f t="shared" ref="H930:H993" si="10">+E930/10*12</f>
        <v>1216.3799999999999</v>
      </c>
      <c r="I930" s="299"/>
    </row>
    <row r="931" spans="1:9" hidden="1" x14ac:dyDescent="0.3">
      <c r="A931" s="298" t="s">
        <v>2215</v>
      </c>
      <c r="B931" s="298" t="s">
        <v>1493</v>
      </c>
      <c r="C931" s="298" t="s">
        <v>1478</v>
      </c>
      <c r="D931" s="298" t="s">
        <v>1494</v>
      </c>
      <c r="E931" s="298">
        <v>2054.94</v>
      </c>
      <c r="F931" s="299">
        <v>1500</v>
      </c>
      <c r="G931" s="299">
        <v>0</v>
      </c>
      <c r="H931" s="299">
        <f t="shared" si="10"/>
        <v>2465.9279999999999</v>
      </c>
      <c r="I931" s="299"/>
    </row>
    <row r="932" spans="1:9" hidden="1" x14ac:dyDescent="0.3">
      <c r="A932" s="298" t="s">
        <v>2217</v>
      </c>
      <c r="B932" s="298" t="s">
        <v>247</v>
      </c>
      <c r="C932" s="298" t="s">
        <v>1478</v>
      </c>
      <c r="D932" s="298" t="s">
        <v>1567</v>
      </c>
      <c r="E932" s="298">
        <v>571.6</v>
      </c>
      <c r="F932" s="299">
        <v>583.29999999999995</v>
      </c>
      <c r="G932" s="299">
        <v>700</v>
      </c>
      <c r="H932" s="299">
        <f t="shared" si="10"/>
        <v>685.92000000000007</v>
      </c>
      <c r="I932" s="299"/>
    </row>
    <row r="933" spans="1:9" hidden="1" x14ac:dyDescent="0.3">
      <c r="A933" s="298" t="s">
        <v>2219</v>
      </c>
      <c r="B933" s="298" t="s">
        <v>257</v>
      </c>
      <c r="C933" s="298" t="s">
        <v>1478</v>
      </c>
      <c r="D933" s="298" t="s">
        <v>1569</v>
      </c>
      <c r="E933" s="298">
        <v>1276.5999999999999</v>
      </c>
      <c r="F933" s="299">
        <v>1250</v>
      </c>
      <c r="G933" s="299">
        <v>1500</v>
      </c>
      <c r="H933" s="299">
        <f t="shared" si="10"/>
        <v>1531.92</v>
      </c>
      <c r="I933" s="299"/>
    </row>
    <row r="934" spans="1:9" hidden="1" x14ac:dyDescent="0.3">
      <c r="A934" s="298" t="s">
        <v>2221</v>
      </c>
      <c r="B934" s="298" t="s">
        <v>1522</v>
      </c>
      <c r="C934" s="298" t="s">
        <v>1478</v>
      </c>
      <c r="D934" s="298" t="s">
        <v>1571</v>
      </c>
      <c r="E934" s="298">
        <v>1053.8800000000001</v>
      </c>
      <c r="F934" s="299">
        <v>666.7</v>
      </c>
      <c r="G934" s="299">
        <v>800</v>
      </c>
      <c r="H934" s="299">
        <f t="shared" si="10"/>
        <v>1264.6559999999999</v>
      </c>
      <c r="I934" s="299"/>
    </row>
    <row r="935" spans="1:9" hidden="1" x14ac:dyDescent="0.3">
      <c r="A935" s="298" t="s">
        <v>2223</v>
      </c>
      <c r="B935" s="298" t="s">
        <v>524</v>
      </c>
      <c r="C935" s="298" t="s">
        <v>1478</v>
      </c>
      <c r="D935" s="298" t="s">
        <v>1573</v>
      </c>
      <c r="E935" s="298">
        <v>0</v>
      </c>
      <c r="F935" s="299">
        <v>1000</v>
      </c>
      <c r="G935" s="299">
        <v>1200</v>
      </c>
      <c r="H935" s="299">
        <f t="shared" si="10"/>
        <v>0</v>
      </c>
      <c r="I935" s="299"/>
    </row>
    <row r="936" spans="1:9" hidden="1" x14ac:dyDescent="0.3">
      <c r="A936" s="298" t="s">
        <v>2225</v>
      </c>
      <c r="B936" s="298" t="s">
        <v>280</v>
      </c>
      <c r="C936" s="298" t="s">
        <v>1478</v>
      </c>
      <c r="D936" s="298" t="s">
        <v>1575</v>
      </c>
      <c r="E936" s="298">
        <v>936.21</v>
      </c>
      <c r="F936" s="299">
        <v>1000</v>
      </c>
      <c r="G936" s="299">
        <v>1200</v>
      </c>
      <c r="H936" s="299">
        <f t="shared" si="10"/>
        <v>1123.4520000000002</v>
      </c>
      <c r="I936" s="299"/>
    </row>
    <row r="937" spans="1:9" hidden="1" x14ac:dyDescent="0.3">
      <c r="A937" s="298" t="s">
        <v>2227</v>
      </c>
      <c r="B937" s="298" t="s">
        <v>280</v>
      </c>
      <c r="C937" s="298" t="s">
        <v>1478</v>
      </c>
      <c r="D937" s="298" t="s">
        <v>1577</v>
      </c>
      <c r="E937" s="298">
        <v>1247.98</v>
      </c>
      <c r="F937" s="299">
        <v>916.7</v>
      </c>
      <c r="G937" s="299">
        <v>1100</v>
      </c>
      <c r="H937" s="299">
        <f t="shared" si="10"/>
        <v>1497.576</v>
      </c>
      <c r="I937" s="299"/>
    </row>
    <row r="938" spans="1:9" hidden="1" x14ac:dyDescent="0.3">
      <c r="A938" s="298" t="s">
        <v>2229</v>
      </c>
      <c r="B938" s="298" t="s">
        <v>280</v>
      </c>
      <c r="C938" s="298" t="s">
        <v>1478</v>
      </c>
      <c r="D938" s="298" t="s">
        <v>1579</v>
      </c>
      <c r="E938" s="298">
        <v>873.36</v>
      </c>
      <c r="F938" s="299">
        <v>916.7</v>
      </c>
      <c r="G938" s="299">
        <v>1100</v>
      </c>
      <c r="H938" s="299">
        <f t="shared" si="10"/>
        <v>1048.0319999999999</v>
      </c>
      <c r="I938" s="299"/>
    </row>
    <row r="939" spans="1:9" hidden="1" x14ac:dyDescent="0.3">
      <c r="A939" s="298" t="s">
        <v>2231</v>
      </c>
      <c r="B939" s="298" t="s">
        <v>280</v>
      </c>
      <c r="C939" s="298" t="s">
        <v>1478</v>
      </c>
      <c r="D939" s="298" t="s">
        <v>1581</v>
      </c>
      <c r="E939" s="298">
        <v>1193.71</v>
      </c>
      <c r="F939" s="299">
        <v>1166.7</v>
      </c>
      <c r="G939" s="299">
        <v>1400</v>
      </c>
      <c r="H939" s="299">
        <f t="shared" si="10"/>
        <v>1432.4520000000002</v>
      </c>
      <c r="I939" s="299"/>
    </row>
    <row r="940" spans="1:9" hidden="1" x14ac:dyDescent="0.3">
      <c r="A940" s="298" t="s">
        <v>2233</v>
      </c>
      <c r="B940" s="298" t="s">
        <v>1430</v>
      </c>
      <c r="C940" s="298" t="s">
        <v>1478</v>
      </c>
      <c r="D940" s="298" t="s">
        <v>1586</v>
      </c>
      <c r="E940" s="298">
        <v>9041.6200000000008</v>
      </c>
      <c r="F940" s="299">
        <v>16666.7</v>
      </c>
      <c r="G940" s="299">
        <v>20000</v>
      </c>
      <c r="H940" s="299">
        <f t="shared" si="10"/>
        <v>10849.944</v>
      </c>
      <c r="I940" s="299"/>
    </row>
    <row r="941" spans="1:9" hidden="1" x14ac:dyDescent="0.3">
      <c r="A941" s="298" t="s">
        <v>2235</v>
      </c>
      <c r="B941" s="298" t="s">
        <v>1430</v>
      </c>
      <c r="C941" s="298" t="s">
        <v>1478</v>
      </c>
      <c r="D941" s="298" t="s">
        <v>1588</v>
      </c>
      <c r="E941" s="298">
        <v>1252.74</v>
      </c>
      <c r="F941" s="299">
        <v>1250</v>
      </c>
      <c r="G941" s="299">
        <v>1500</v>
      </c>
      <c r="H941" s="299">
        <f t="shared" si="10"/>
        <v>1503.288</v>
      </c>
      <c r="I941" s="299"/>
    </row>
    <row r="942" spans="1:9" hidden="1" x14ac:dyDescent="0.3">
      <c r="A942" s="298" t="s">
        <v>2237</v>
      </c>
      <c r="B942" s="298" t="s">
        <v>1430</v>
      </c>
      <c r="C942" s="298" t="s">
        <v>1478</v>
      </c>
      <c r="D942" s="298" t="s">
        <v>1590</v>
      </c>
      <c r="E942" s="298">
        <v>8850.5</v>
      </c>
      <c r="F942" s="299">
        <v>1666.7</v>
      </c>
      <c r="G942" s="299">
        <v>2000</v>
      </c>
      <c r="H942" s="299">
        <f t="shared" si="10"/>
        <v>10620.599999999999</v>
      </c>
      <c r="I942" s="299"/>
    </row>
    <row r="943" spans="1:9" hidden="1" x14ac:dyDescent="0.3">
      <c r="A943" s="298" t="s">
        <v>2239</v>
      </c>
      <c r="B943" s="298" t="s">
        <v>1430</v>
      </c>
      <c r="C943" s="298" t="s">
        <v>1478</v>
      </c>
      <c r="D943" s="298" t="s">
        <v>1592</v>
      </c>
      <c r="E943" s="298">
        <v>1334.07</v>
      </c>
      <c r="F943" s="299">
        <v>1000</v>
      </c>
      <c r="G943" s="299">
        <v>1200</v>
      </c>
      <c r="H943" s="299">
        <f t="shared" si="10"/>
        <v>1600.8839999999998</v>
      </c>
      <c r="I943" s="299"/>
    </row>
    <row r="944" spans="1:9" hidden="1" x14ac:dyDescent="0.3">
      <c r="A944" s="298" t="s">
        <v>2241</v>
      </c>
      <c r="B944" s="298" t="s">
        <v>280</v>
      </c>
      <c r="C944" s="298" t="s">
        <v>1478</v>
      </c>
      <c r="D944" s="298" t="s">
        <v>1596</v>
      </c>
      <c r="E944" s="298">
        <v>1946.09</v>
      </c>
      <c r="F944" s="299">
        <v>1916.7</v>
      </c>
      <c r="G944" s="299">
        <v>2300</v>
      </c>
      <c r="H944" s="299">
        <f t="shared" si="10"/>
        <v>2335.308</v>
      </c>
      <c r="I944" s="299"/>
    </row>
    <row r="945" spans="1:9" hidden="1" x14ac:dyDescent="0.3">
      <c r="A945" s="298" t="s">
        <v>2243</v>
      </c>
      <c r="B945" s="298" t="s">
        <v>280</v>
      </c>
      <c r="C945" s="298" t="s">
        <v>1478</v>
      </c>
      <c r="D945" s="298" t="s">
        <v>1598</v>
      </c>
      <c r="E945" s="298">
        <v>1154.3399999999999</v>
      </c>
      <c r="F945" s="299">
        <v>1250</v>
      </c>
      <c r="G945" s="299">
        <v>1500</v>
      </c>
      <c r="H945" s="299">
        <f t="shared" si="10"/>
        <v>1385.2080000000001</v>
      </c>
      <c r="I945" s="299"/>
    </row>
    <row r="946" spans="1:9" hidden="1" x14ac:dyDescent="0.3">
      <c r="A946" s="298" t="s">
        <v>2245</v>
      </c>
      <c r="B946" s="298" t="s">
        <v>280</v>
      </c>
      <c r="C946" s="298" t="s">
        <v>1478</v>
      </c>
      <c r="D946" s="298" t="s">
        <v>1600</v>
      </c>
      <c r="E946" s="298">
        <v>1206.74</v>
      </c>
      <c r="F946" s="299">
        <v>1000</v>
      </c>
      <c r="G946" s="299">
        <v>1200</v>
      </c>
      <c r="H946" s="299">
        <f t="shared" si="10"/>
        <v>1448.0880000000002</v>
      </c>
      <c r="I946" s="299"/>
    </row>
    <row r="947" spans="1:9" hidden="1" x14ac:dyDescent="0.3">
      <c r="A947" s="298" t="s">
        <v>2247</v>
      </c>
      <c r="B947" s="298" t="s">
        <v>280</v>
      </c>
      <c r="C947" s="298" t="s">
        <v>1478</v>
      </c>
      <c r="D947" s="298" t="s">
        <v>1602</v>
      </c>
      <c r="E947" s="298">
        <v>1190.54</v>
      </c>
      <c r="F947" s="299">
        <v>1000</v>
      </c>
      <c r="G947" s="299">
        <v>1200</v>
      </c>
      <c r="H947" s="299">
        <f t="shared" si="10"/>
        <v>1428.6480000000001</v>
      </c>
      <c r="I947" s="299"/>
    </row>
    <row r="948" spans="1:9" hidden="1" x14ac:dyDescent="0.3">
      <c r="A948" s="298" t="s">
        <v>2249</v>
      </c>
      <c r="B948" s="298" t="s">
        <v>280</v>
      </c>
      <c r="C948" s="298" t="s">
        <v>1478</v>
      </c>
      <c r="D948" s="298" t="s">
        <v>1604</v>
      </c>
      <c r="E948" s="298">
        <v>1232.8399999999999</v>
      </c>
      <c r="F948" s="299">
        <v>1250</v>
      </c>
      <c r="G948" s="299">
        <v>1500</v>
      </c>
      <c r="H948" s="299">
        <f t="shared" si="10"/>
        <v>1479.4079999999999</v>
      </c>
      <c r="I948" s="299"/>
    </row>
    <row r="949" spans="1:9" hidden="1" x14ac:dyDescent="0.3">
      <c r="A949" s="298" t="s">
        <v>2251</v>
      </c>
      <c r="B949" s="298" t="s">
        <v>280</v>
      </c>
      <c r="C949" s="298" t="s">
        <v>1478</v>
      </c>
      <c r="D949" s="298" t="s">
        <v>1606</v>
      </c>
      <c r="E949" s="298">
        <v>1628.58</v>
      </c>
      <c r="F949" s="299">
        <v>750</v>
      </c>
      <c r="G949" s="299">
        <v>900</v>
      </c>
      <c r="H949" s="299">
        <f t="shared" si="10"/>
        <v>1954.296</v>
      </c>
      <c r="I949" s="299"/>
    </row>
    <row r="950" spans="1:9" hidden="1" x14ac:dyDescent="0.3">
      <c r="A950" s="298" t="s">
        <v>2253</v>
      </c>
      <c r="B950" s="298" t="s">
        <v>280</v>
      </c>
      <c r="C950" s="298" t="s">
        <v>1478</v>
      </c>
      <c r="D950" s="298" t="s">
        <v>1608</v>
      </c>
      <c r="E950" s="298">
        <v>989.26</v>
      </c>
      <c r="F950" s="299">
        <v>500</v>
      </c>
      <c r="G950" s="299">
        <v>600</v>
      </c>
      <c r="H950" s="299">
        <f t="shared" si="10"/>
        <v>1187.1120000000001</v>
      </c>
      <c r="I950" s="299"/>
    </row>
    <row r="951" spans="1:9" hidden="1" x14ac:dyDescent="0.3">
      <c r="A951" s="298" t="s">
        <v>2255</v>
      </c>
      <c r="B951" s="298" t="s">
        <v>280</v>
      </c>
      <c r="C951" s="298" t="s">
        <v>1478</v>
      </c>
      <c r="D951" s="298" t="s">
        <v>1610</v>
      </c>
      <c r="E951" s="298">
        <v>1192.0999999999999</v>
      </c>
      <c r="F951" s="299">
        <v>1000</v>
      </c>
      <c r="G951" s="299">
        <v>1200</v>
      </c>
      <c r="H951" s="299">
        <f t="shared" si="10"/>
        <v>1430.52</v>
      </c>
      <c r="I951" s="299"/>
    </row>
    <row r="952" spans="1:9" hidden="1" x14ac:dyDescent="0.3">
      <c r="A952" s="298" t="s">
        <v>2257</v>
      </c>
      <c r="B952" s="298" t="s">
        <v>280</v>
      </c>
      <c r="C952" s="298" t="s">
        <v>1478</v>
      </c>
      <c r="D952" s="298" t="s">
        <v>1612</v>
      </c>
      <c r="E952" s="298">
        <v>739.98</v>
      </c>
      <c r="F952" s="299">
        <v>500</v>
      </c>
      <c r="G952" s="299">
        <v>600</v>
      </c>
      <c r="H952" s="299">
        <f t="shared" si="10"/>
        <v>887.97600000000011</v>
      </c>
      <c r="I952" s="299"/>
    </row>
    <row r="953" spans="1:9" hidden="1" x14ac:dyDescent="0.3">
      <c r="A953" s="298" t="s">
        <v>2259</v>
      </c>
      <c r="B953" s="298" t="s">
        <v>280</v>
      </c>
      <c r="C953" s="298" t="s">
        <v>1478</v>
      </c>
      <c r="D953" s="298" t="s">
        <v>1614</v>
      </c>
      <c r="E953" s="298">
        <v>1000.09</v>
      </c>
      <c r="F953" s="299">
        <v>1000</v>
      </c>
      <c r="G953" s="299">
        <v>1200</v>
      </c>
      <c r="H953" s="299">
        <f t="shared" si="10"/>
        <v>1200.1079999999999</v>
      </c>
      <c r="I953" s="299"/>
    </row>
    <row r="954" spans="1:9" hidden="1" x14ac:dyDescent="0.3">
      <c r="A954" s="298" t="s">
        <v>2261</v>
      </c>
      <c r="B954" s="298" t="s">
        <v>280</v>
      </c>
      <c r="C954" s="298" t="s">
        <v>1478</v>
      </c>
      <c r="D954" s="298" t="s">
        <v>1616</v>
      </c>
      <c r="E954" s="298">
        <v>698.11</v>
      </c>
      <c r="F954" s="299">
        <v>500</v>
      </c>
      <c r="G954" s="299">
        <v>600</v>
      </c>
      <c r="H954" s="299">
        <f t="shared" si="10"/>
        <v>837.73200000000008</v>
      </c>
      <c r="I954" s="299"/>
    </row>
    <row r="955" spans="1:9" hidden="1" x14ac:dyDescent="0.3">
      <c r="A955" s="298" t="s">
        <v>2263</v>
      </c>
      <c r="B955" s="298" t="s">
        <v>280</v>
      </c>
      <c r="C955" s="298" t="s">
        <v>1478</v>
      </c>
      <c r="D955" s="298" t="s">
        <v>1618</v>
      </c>
      <c r="E955" s="298">
        <v>304.02</v>
      </c>
      <c r="F955" s="299">
        <v>1083.3</v>
      </c>
      <c r="G955" s="299">
        <v>1300</v>
      </c>
      <c r="H955" s="299">
        <f t="shared" si="10"/>
        <v>364.82399999999996</v>
      </c>
      <c r="I955" s="299"/>
    </row>
    <row r="956" spans="1:9" hidden="1" x14ac:dyDescent="0.3">
      <c r="A956" s="298" t="s">
        <v>2265</v>
      </c>
      <c r="B956" s="298" t="s">
        <v>303</v>
      </c>
      <c r="C956" s="298" t="s">
        <v>1478</v>
      </c>
      <c r="D956" s="298" t="s">
        <v>1620</v>
      </c>
      <c r="E956" s="298">
        <v>1720.12</v>
      </c>
      <c r="F956" s="299">
        <v>916.7</v>
      </c>
      <c r="G956" s="299">
        <v>1100</v>
      </c>
      <c r="H956" s="299">
        <f t="shared" si="10"/>
        <v>2064.1440000000002</v>
      </c>
      <c r="I956" s="299"/>
    </row>
    <row r="957" spans="1:9" hidden="1" x14ac:dyDescent="0.3">
      <c r="A957" s="298" t="s">
        <v>2267</v>
      </c>
      <c r="B957" s="298" t="s">
        <v>558</v>
      </c>
      <c r="C957" s="298" t="s">
        <v>1478</v>
      </c>
      <c r="D957" s="298" t="s">
        <v>1622</v>
      </c>
      <c r="E957" s="298">
        <v>865.08</v>
      </c>
      <c r="F957" s="299">
        <v>1000</v>
      </c>
      <c r="G957" s="299">
        <v>1200</v>
      </c>
      <c r="H957" s="299">
        <f t="shared" si="10"/>
        <v>1038.096</v>
      </c>
      <c r="I957" s="299"/>
    </row>
    <row r="958" spans="1:9" hidden="1" x14ac:dyDescent="0.3">
      <c r="A958" s="298" t="s">
        <v>2269</v>
      </c>
      <c r="B958" s="298" t="s">
        <v>1423</v>
      </c>
      <c r="C958" s="298" t="s">
        <v>1478</v>
      </c>
      <c r="D958" s="298" t="s">
        <v>1624</v>
      </c>
      <c r="E958" s="298">
        <v>483.81</v>
      </c>
      <c r="F958" s="299">
        <v>500</v>
      </c>
      <c r="G958" s="299">
        <v>600</v>
      </c>
      <c r="H958" s="299">
        <f t="shared" si="10"/>
        <v>580.572</v>
      </c>
      <c r="I958" s="299"/>
    </row>
    <row r="959" spans="1:9" hidden="1" x14ac:dyDescent="0.3">
      <c r="A959" s="298" t="s">
        <v>2271</v>
      </c>
      <c r="B959" s="298" t="s">
        <v>402</v>
      </c>
      <c r="C959" s="298" t="s">
        <v>1478</v>
      </c>
      <c r="D959" s="298" t="s">
        <v>2444</v>
      </c>
      <c r="E959" s="298">
        <v>7524.98</v>
      </c>
      <c r="F959" s="299">
        <v>6500</v>
      </c>
      <c r="G959" s="299">
        <v>0</v>
      </c>
      <c r="H959" s="299">
        <f t="shared" si="10"/>
        <v>9029.9759999999987</v>
      </c>
      <c r="I959" s="299"/>
    </row>
    <row r="960" spans="1:9" hidden="1" x14ac:dyDescent="0.3">
      <c r="A960" s="298" t="s">
        <v>2274</v>
      </c>
      <c r="B960" s="298" t="s">
        <v>511</v>
      </c>
      <c r="C960" s="298" t="s">
        <v>1478</v>
      </c>
      <c r="D960" s="298" t="s">
        <v>1479</v>
      </c>
      <c r="E960" s="298">
        <v>367.56</v>
      </c>
      <c r="F960" s="299">
        <v>416.7</v>
      </c>
      <c r="G960" s="299">
        <v>500</v>
      </c>
      <c r="H960" s="299">
        <f t="shared" si="10"/>
        <v>441.072</v>
      </c>
      <c r="I960" s="299"/>
    </row>
    <row r="961" spans="1:9" hidden="1" x14ac:dyDescent="0.3">
      <c r="A961" s="298" t="s">
        <v>2276</v>
      </c>
      <c r="B961" s="298" t="s">
        <v>280</v>
      </c>
      <c r="C961" s="298" t="s">
        <v>1478</v>
      </c>
      <c r="D961" s="298" t="s">
        <v>1481</v>
      </c>
      <c r="E961" s="298">
        <v>477</v>
      </c>
      <c r="F961" s="299">
        <v>250</v>
      </c>
      <c r="G961" s="299">
        <v>300</v>
      </c>
      <c r="H961" s="299">
        <f t="shared" si="10"/>
        <v>572.40000000000009</v>
      </c>
      <c r="I961" s="299"/>
    </row>
    <row r="962" spans="1:9" hidden="1" x14ac:dyDescent="0.3">
      <c r="A962" s="298" t="s">
        <v>2280</v>
      </c>
      <c r="B962" s="298" t="s">
        <v>280</v>
      </c>
      <c r="C962" s="298" t="s">
        <v>1478</v>
      </c>
      <c r="D962" s="298" t="s">
        <v>1485</v>
      </c>
      <c r="E962" s="298">
        <v>238.5</v>
      </c>
      <c r="F962" s="299">
        <v>3750</v>
      </c>
      <c r="G962" s="299">
        <v>4500</v>
      </c>
      <c r="H962" s="299">
        <f t="shared" si="10"/>
        <v>286.20000000000005</v>
      </c>
      <c r="I962" s="299"/>
    </row>
    <row r="963" spans="1:9" hidden="1" x14ac:dyDescent="0.3">
      <c r="A963" s="298" t="s">
        <v>2282</v>
      </c>
      <c r="B963" s="298" t="s">
        <v>280</v>
      </c>
      <c r="C963" s="298" t="s">
        <v>1478</v>
      </c>
      <c r="D963" s="298" t="s">
        <v>1487</v>
      </c>
      <c r="E963" s="298">
        <v>1192.5</v>
      </c>
      <c r="F963" s="299">
        <v>8333.2999999999993</v>
      </c>
      <c r="G963" s="299">
        <v>10000</v>
      </c>
      <c r="H963" s="299">
        <f t="shared" si="10"/>
        <v>1431</v>
      </c>
      <c r="I963" s="299"/>
    </row>
    <row r="964" spans="1:9" hidden="1" x14ac:dyDescent="0.3">
      <c r="A964" s="298" t="s">
        <v>2284</v>
      </c>
      <c r="B964" s="298" t="s">
        <v>280</v>
      </c>
      <c r="C964" s="298" t="s">
        <v>1478</v>
      </c>
      <c r="D964" s="298" t="s">
        <v>1489</v>
      </c>
      <c r="E964" s="298">
        <v>7822.36</v>
      </c>
      <c r="F964" s="299">
        <v>500</v>
      </c>
      <c r="G964" s="299">
        <v>600</v>
      </c>
      <c r="H964" s="299">
        <f t="shared" si="10"/>
        <v>9386.8320000000003</v>
      </c>
      <c r="I964" s="299"/>
    </row>
    <row r="965" spans="1:9" hidden="1" x14ac:dyDescent="0.3">
      <c r="A965" s="298" t="s">
        <v>2286</v>
      </c>
      <c r="B965" s="298" t="s">
        <v>422</v>
      </c>
      <c r="C965" s="298" t="s">
        <v>1471</v>
      </c>
      <c r="D965" s="298" t="s">
        <v>1472</v>
      </c>
      <c r="E965" s="298">
        <v>0</v>
      </c>
      <c r="F965" s="299">
        <v>6666.7</v>
      </c>
      <c r="G965" s="299">
        <v>8000</v>
      </c>
      <c r="H965" s="299">
        <f t="shared" si="10"/>
        <v>0</v>
      </c>
      <c r="I965" s="299"/>
    </row>
    <row r="966" spans="1:9" hidden="1" x14ac:dyDescent="0.3">
      <c r="A966" s="298" t="s">
        <v>2288</v>
      </c>
      <c r="B966" s="298" t="s">
        <v>257</v>
      </c>
      <c r="C966" s="298" t="s">
        <v>1418</v>
      </c>
      <c r="D966" s="298" t="s">
        <v>1419</v>
      </c>
      <c r="E966" s="298">
        <v>690.32</v>
      </c>
      <c r="F966" s="299">
        <v>0</v>
      </c>
      <c r="G966" s="299">
        <v>0</v>
      </c>
      <c r="H966" s="299">
        <f t="shared" si="10"/>
        <v>828.38400000000013</v>
      </c>
      <c r="I966" s="299"/>
    </row>
    <row r="967" spans="1:9" hidden="1" x14ac:dyDescent="0.3">
      <c r="A967" s="298" t="s">
        <v>2290</v>
      </c>
      <c r="B967" s="298" t="s">
        <v>280</v>
      </c>
      <c r="C967" s="298" t="s">
        <v>1418</v>
      </c>
      <c r="D967" s="298" t="s">
        <v>1421</v>
      </c>
      <c r="E967" s="298">
        <v>1275.3399999999999</v>
      </c>
      <c r="F967" s="299">
        <v>0</v>
      </c>
      <c r="G967" s="299">
        <v>0</v>
      </c>
      <c r="H967" s="299">
        <f t="shared" si="10"/>
        <v>1530.4079999999999</v>
      </c>
      <c r="I967" s="299"/>
    </row>
    <row r="968" spans="1:9" hidden="1" x14ac:dyDescent="0.3">
      <c r="A968" s="298" t="s">
        <v>2292</v>
      </c>
      <c r="B968" s="298" t="s">
        <v>1423</v>
      </c>
      <c r="C968" s="298" t="s">
        <v>1418</v>
      </c>
      <c r="D968" s="298" t="s">
        <v>1424</v>
      </c>
      <c r="E968" s="298">
        <v>0</v>
      </c>
      <c r="F968" s="299">
        <v>12500</v>
      </c>
      <c r="G968" s="299">
        <v>0</v>
      </c>
      <c r="H968" s="299">
        <f t="shared" si="10"/>
        <v>0</v>
      </c>
      <c r="I968" s="299"/>
    </row>
    <row r="969" spans="1:9" hidden="1" x14ac:dyDescent="0.3">
      <c r="A969" s="298" t="s">
        <v>2294</v>
      </c>
      <c r="B969" s="298" t="s">
        <v>1423</v>
      </c>
      <c r="C969" s="298" t="s">
        <v>1418</v>
      </c>
      <c r="D969" s="298" t="s">
        <v>1426</v>
      </c>
      <c r="E969" s="298">
        <v>3358.24</v>
      </c>
      <c r="F969" s="299">
        <v>0</v>
      </c>
      <c r="G969" s="299">
        <v>15000</v>
      </c>
      <c r="H969" s="299">
        <f t="shared" si="10"/>
        <v>4029.8879999999995</v>
      </c>
      <c r="I969" s="299"/>
    </row>
    <row r="970" spans="1:9" hidden="1" x14ac:dyDescent="0.3">
      <c r="A970" s="298" t="s">
        <v>2296</v>
      </c>
      <c r="B970" s="298" t="s">
        <v>1423</v>
      </c>
      <c r="C970" s="298" t="s">
        <v>1418</v>
      </c>
      <c r="D970" s="298" t="s">
        <v>1428</v>
      </c>
      <c r="E970" s="298">
        <v>2301.25</v>
      </c>
      <c r="F970" s="299">
        <v>0</v>
      </c>
      <c r="G970" s="299">
        <v>0</v>
      </c>
      <c r="H970" s="299">
        <f t="shared" si="10"/>
        <v>2761.5</v>
      </c>
      <c r="I970" s="299"/>
    </row>
    <row r="971" spans="1:9" hidden="1" x14ac:dyDescent="0.3">
      <c r="A971" s="298" t="s">
        <v>2298</v>
      </c>
      <c r="B971" s="298" t="s">
        <v>1430</v>
      </c>
      <c r="C971" s="298" t="s">
        <v>1418</v>
      </c>
      <c r="D971" s="298" t="s">
        <v>1431</v>
      </c>
      <c r="E971" s="298">
        <v>1845.89</v>
      </c>
      <c r="F971" s="299">
        <v>0</v>
      </c>
      <c r="G971" s="299">
        <v>0</v>
      </c>
      <c r="H971" s="299">
        <f t="shared" si="10"/>
        <v>2215.0680000000002</v>
      </c>
      <c r="I971" s="299"/>
    </row>
    <row r="972" spans="1:9" hidden="1" x14ac:dyDescent="0.3">
      <c r="A972" s="298" t="s">
        <v>2300</v>
      </c>
      <c r="B972" s="298" t="s">
        <v>251</v>
      </c>
      <c r="C972" s="298" t="s">
        <v>1418</v>
      </c>
      <c r="D972" s="298" t="s">
        <v>1433</v>
      </c>
      <c r="E972" s="298">
        <v>9785.4599999999991</v>
      </c>
      <c r="F972" s="299">
        <v>0</v>
      </c>
      <c r="G972" s="299">
        <v>0</v>
      </c>
      <c r="H972" s="299">
        <f t="shared" si="10"/>
        <v>11742.552</v>
      </c>
      <c r="I972" s="299"/>
    </row>
    <row r="973" spans="1:9" hidden="1" x14ac:dyDescent="0.3">
      <c r="A973" s="298" t="s">
        <v>2302</v>
      </c>
      <c r="B973" s="298" t="s">
        <v>257</v>
      </c>
      <c r="C973" s="298" t="s">
        <v>1418</v>
      </c>
      <c r="D973" s="298" t="s">
        <v>1435</v>
      </c>
      <c r="E973" s="298">
        <v>6283.57</v>
      </c>
      <c r="F973" s="299">
        <v>0</v>
      </c>
      <c r="G973" s="299">
        <v>0</v>
      </c>
      <c r="H973" s="299">
        <f t="shared" si="10"/>
        <v>7540.2839999999997</v>
      </c>
      <c r="I973" s="299"/>
    </row>
    <row r="974" spans="1:9" hidden="1" x14ac:dyDescent="0.3">
      <c r="A974" s="298" t="s">
        <v>2304</v>
      </c>
      <c r="B974" s="298" t="s">
        <v>1437</v>
      </c>
      <c r="C974" s="298" t="s">
        <v>1418</v>
      </c>
      <c r="D974" s="298" t="s">
        <v>1438</v>
      </c>
      <c r="E974" s="298">
        <v>883.95</v>
      </c>
      <c r="F974" s="299">
        <v>0</v>
      </c>
      <c r="G974" s="299">
        <v>0</v>
      </c>
      <c r="H974" s="299">
        <f t="shared" si="10"/>
        <v>1060.7400000000002</v>
      </c>
      <c r="I974" s="299"/>
    </row>
    <row r="975" spans="1:9" hidden="1" x14ac:dyDescent="0.3">
      <c r="A975" s="298" t="s">
        <v>2306</v>
      </c>
      <c r="B975" s="298" t="s">
        <v>293</v>
      </c>
      <c r="C975" s="298" t="s">
        <v>1418</v>
      </c>
      <c r="D975" s="298" t="s">
        <v>1440</v>
      </c>
      <c r="E975" s="298">
        <v>819.67</v>
      </c>
      <c r="F975" s="299">
        <v>0</v>
      </c>
      <c r="G975" s="299">
        <v>0</v>
      </c>
      <c r="H975" s="299">
        <f t="shared" si="10"/>
        <v>983.60400000000004</v>
      </c>
      <c r="I975" s="299"/>
    </row>
    <row r="976" spans="1:9" hidden="1" x14ac:dyDescent="0.3">
      <c r="A976" s="298" t="s">
        <v>2308</v>
      </c>
      <c r="B976" s="298" t="s">
        <v>1437</v>
      </c>
      <c r="C976" s="298" t="s">
        <v>1418</v>
      </c>
      <c r="D976" s="298" t="s">
        <v>1442</v>
      </c>
      <c r="E976" s="298">
        <v>0</v>
      </c>
      <c r="F976" s="299">
        <v>33333.300000000003</v>
      </c>
      <c r="G976" s="299">
        <v>0</v>
      </c>
      <c r="H976" s="299">
        <f t="shared" si="10"/>
        <v>0</v>
      </c>
      <c r="I976" s="299"/>
    </row>
    <row r="977" spans="1:9" hidden="1" x14ac:dyDescent="0.3">
      <c r="A977" s="298" t="s">
        <v>2310</v>
      </c>
      <c r="B977" s="298" t="s">
        <v>1437</v>
      </c>
      <c r="C977" s="298" t="s">
        <v>1418</v>
      </c>
      <c r="D977" s="298" t="s">
        <v>1444</v>
      </c>
      <c r="E977" s="298">
        <v>309.74</v>
      </c>
      <c r="F977" s="299">
        <v>0</v>
      </c>
      <c r="G977" s="299">
        <v>40000</v>
      </c>
      <c r="H977" s="299">
        <f t="shared" si="10"/>
        <v>371.68799999999999</v>
      </c>
      <c r="I977" s="299"/>
    </row>
    <row r="978" spans="1:9" hidden="1" x14ac:dyDescent="0.3">
      <c r="A978" s="298" t="s">
        <v>2312</v>
      </c>
      <c r="B978" s="298" t="s">
        <v>293</v>
      </c>
      <c r="C978" s="298" t="s">
        <v>1418</v>
      </c>
      <c r="D978" s="298" t="s">
        <v>1446</v>
      </c>
      <c r="E978" s="298">
        <v>466.69</v>
      </c>
      <c r="F978" s="299">
        <v>0</v>
      </c>
      <c r="G978" s="299">
        <v>0</v>
      </c>
      <c r="H978" s="299">
        <f t="shared" si="10"/>
        <v>560.02800000000002</v>
      </c>
      <c r="I978" s="299"/>
    </row>
    <row r="979" spans="1:9" hidden="1" x14ac:dyDescent="0.3">
      <c r="A979" s="298" t="s">
        <v>2314</v>
      </c>
      <c r="B979" s="298" t="s">
        <v>293</v>
      </c>
      <c r="C979" s="298" t="s">
        <v>1418</v>
      </c>
      <c r="D979" s="298" t="s">
        <v>1448</v>
      </c>
      <c r="E979" s="298">
        <v>564.39</v>
      </c>
      <c r="F979" s="299">
        <v>0</v>
      </c>
      <c r="G979" s="299">
        <v>0</v>
      </c>
      <c r="H979" s="299">
        <f t="shared" si="10"/>
        <v>677.26800000000003</v>
      </c>
      <c r="I979" s="299"/>
    </row>
    <row r="980" spans="1:9" hidden="1" x14ac:dyDescent="0.3">
      <c r="A980" s="298" t="s">
        <v>2316</v>
      </c>
      <c r="B980" s="298" t="s">
        <v>1437</v>
      </c>
      <c r="C980" s="298" t="s">
        <v>1418</v>
      </c>
      <c r="D980" s="298" t="s">
        <v>1450</v>
      </c>
      <c r="E980" s="298">
        <v>1396.79</v>
      </c>
      <c r="F980" s="299">
        <v>0</v>
      </c>
      <c r="G980" s="299">
        <v>0</v>
      </c>
      <c r="H980" s="299">
        <f t="shared" si="10"/>
        <v>1676.1480000000001</v>
      </c>
      <c r="I980" s="299"/>
    </row>
    <row r="981" spans="1:9" hidden="1" x14ac:dyDescent="0.3">
      <c r="A981" s="298" t="s">
        <v>2318</v>
      </c>
      <c r="B981" s="298" t="s">
        <v>293</v>
      </c>
      <c r="C981" s="298" t="s">
        <v>1418</v>
      </c>
      <c r="D981" s="298" t="s">
        <v>1452</v>
      </c>
      <c r="E981" s="298">
        <v>570.63</v>
      </c>
      <c r="F981" s="299">
        <v>0</v>
      </c>
      <c r="G981" s="299">
        <v>0</v>
      </c>
      <c r="H981" s="299">
        <f t="shared" si="10"/>
        <v>684.75600000000009</v>
      </c>
      <c r="I981" s="299"/>
    </row>
    <row r="982" spans="1:9" hidden="1" x14ac:dyDescent="0.3">
      <c r="A982" s="298" t="s">
        <v>2320</v>
      </c>
      <c r="B982" s="298" t="s">
        <v>1437</v>
      </c>
      <c r="C982" s="298" t="s">
        <v>1418</v>
      </c>
      <c r="D982" s="298" t="s">
        <v>1454</v>
      </c>
      <c r="E982" s="298">
        <v>235.74</v>
      </c>
      <c r="F982" s="299">
        <v>0</v>
      </c>
      <c r="G982" s="299">
        <v>0</v>
      </c>
      <c r="H982" s="299">
        <f t="shared" si="10"/>
        <v>282.88800000000003</v>
      </c>
      <c r="I982" s="299"/>
    </row>
    <row r="983" spans="1:9" hidden="1" x14ac:dyDescent="0.3">
      <c r="A983" s="298" t="s">
        <v>2322</v>
      </c>
      <c r="B983" s="298" t="s">
        <v>293</v>
      </c>
      <c r="C983" s="298" t="s">
        <v>1418</v>
      </c>
      <c r="D983" s="298" t="s">
        <v>1456</v>
      </c>
      <c r="E983" s="298">
        <v>87.31</v>
      </c>
      <c r="F983" s="299">
        <v>0</v>
      </c>
      <c r="G983" s="299">
        <v>0</v>
      </c>
      <c r="H983" s="299">
        <f t="shared" si="10"/>
        <v>104.77199999999999</v>
      </c>
      <c r="I983" s="299"/>
    </row>
    <row r="984" spans="1:9" hidden="1" x14ac:dyDescent="0.3">
      <c r="A984" s="298" t="s">
        <v>2324</v>
      </c>
      <c r="B984" s="298" t="s">
        <v>293</v>
      </c>
      <c r="C984" s="298" t="s">
        <v>1418</v>
      </c>
      <c r="D984" s="298" t="s">
        <v>1458</v>
      </c>
      <c r="E984" s="298">
        <v>1557.02</v>
      </c>
      <c r="F984" s="299">
        <v>0</v>
      </c>
      <c r="G984" s="299">
        <v>0</v>
      </c>
      <c r="H984" s="299">
        <f t="shared" si="10"/>
        <v>1868.424</v>
      </c>
      <c r="I984" s="299"/>
    </row>
    <row r="985" spans="1:9" hidden="1" x14ac:dyDescent="0.3">
      <c r="A985" s="298" t="s">
        <v>2326</v>
      </c>
      <c r="B985" s="298" t="s">
        <v>1437</v>
      </c>
      <c r="C985" s="298" t="s">
        <v>1418</v>
      </c>
      <c r="D985" s="298" t="s">
        <v>1460</v>
      </c>
      <c r="E985" s="298">
        <v>735.9</v>
      </c>
      <c r="F985" s="299">
        <v>0</v>
      </c>
      <c r="G985" s="299">
        <v>0</v>
      </c>
      <c r="H985" s="299">
        <f t="shared" si="10"/>
        <v>883.08</v>
      </c>
      <c r="I985" s="299"/>
    </row>
    <row r="986" spans="1:9" hidden="1" x14ac:dyDescent="0.3">
      <c r="A986" s="298" t="s">
        <v>2328</v>
      </c>
      <c r="B986" s="298" t="s">
        <v>293</v>
      </c>
      <c r="C986" s="298" t="s">
        <v>1418</v>
      </c>
      <c r="D986" s="298" t="s">
        <v>1462</v>
      </c>
      <c r="E986" s="298">
        <v>591.41</v>
      </c>
      <c r="F986" s="299">
        <v>0</v>
      </c>
      <c r="G986" s="299">
        <v>0</v>
      </c>
      <c r="H986" s="299">
        <f t="shared" si="10"/>
        <v>709.69200000000001</v>
      </c>
      <c r="I986" s="299"/>
    </row>
    <row r="987" spans="1:9" hidden="1" x14ac:dyDescent="0.3">
      <c r="A987" s="298" t="s">
        <v>2330</v>
      </c>
      <c r="B987" s="298" t="s">
        <v>280</v>
      </c>
      <c r="C987" s="298" t="s">
        <v>1418</v>
      </c>
      <c r="D987" s="298" t="s">
        <v>1464</v>
      </c>
      <c r="E987" s="298">
        <v>72.75</v>
      </c>
      <c r="F987" s="299">
        <v>0</v>
      </c>
      <c r="G987" s="299">
        <v>0</v>
      </c>
      <c r="H987" s="299">
        <f t="shared" si="10"/>
        <v>87.300000000000011</v>
      </c>
      <c r="I987" s="299"/>
    </row>
    <row r="988" spans="1:9" hidden="1" x14ac:dyDescent="0.3">
      <c r="A988" s="298" t="s">
        <v>2332</v>
      </c>
      <c r="B988" s="298" t="s">
        <v>264</v>
      </c>
      <c r="C988" s="298" t="s">
        <v>263</v>
      </c>
      <c r="D988" s="298" t="s">
        <v>274</v>
      </c>
      <c r="E988" s="298">
        <v>-18584</v>
      </c>
      <c r="F988" s="299">
        <v>0</v>
      </c>
      <c r="G988" s="299">
        <v>0</v>
      </c>
      <c r="H988" s="299">
        <f t="shared" si="10"/>
        <v>-22300.800000000003</v>
      </c>
      <c r="I988" s="299"/>
    </row>
    <row r="989" spans="1:9" hidden="1" x14ac:dyDescent="0.3">
      <c r="A989" s="298" t="s">
        <v>2334</v>
      </c>
      <c r="B989" s="298" t="s">
        <v>402</v>
      </c>
      <c r="C989" s="298" t="s">
        <v>448</v>
      </c>
      <c r="D989" s="298" t="s">
        <v>449</v>
      </c>
      <c r="E989" s="298">
        <v>-5000</v>
      </c>
      <c r="F989" s="299">
        <v>0</v>
      </c>
      <c r="G989" s="299">
        <v>0</v>
      </c>
      <c r="H989" s="299">
        <f t="shared" si="10"/>
        <v>-6000</v>
      </c>
      <c r="I989" s="299"/>
    </row>
    <row r="990" spans="1:9" hidden="1" x14ac:dyDescent="0.3">
      <c r="A990" s="298" t="s">
        <v>2336</v>
      </c>
      <c r="B990" s="298" t="s">
        <v>293</v>
      </c>
      <c r="C990" s="298" t="s">
        <v>2018</v>
      </c>
      <c r="D990" s="298" t="s">
        <v>2019</v>
      </c>
      <c r="E990" s="298">
        <v>1524.11</v>
      </c>
      <c r="F990" s="299">
        <v>1833.3</v>
      </c>
      <c r="G990" s="299">
        <v>2200</v>
      </c>
      <c r="H990" s="299">
        <f t="shared" si="10"/>
        <v>1828.932</v>
      </c>
      <c r="I990" s="299"/>
    </row>
    <row r="991" spans="1:9" hidden="1" x14ac:dyDescent="0.3">
      <c r="A991" s="298" t="s">
        <v>2338</v>
      </c>
      <c r="B991" s="298" t="s">
        <v>293</v>
      </c>
      <c r="C991" s="298" t="s">
        <v>2018</v>
      </c>
      <c r="D991" s="298" t="s">
        <v>2021</v>
      </c>
      <c r="E991" s="298">
        <v>79.680000000000007</v>
      </c>
      <c r="F991" s="299">
        <v>166.7</v>
      </c>
      <c r="G991" s="299">
        <v>200</v>
      </c>
      <c r="H991" s="299">
        <f t="shared" si="10"/>
        <v>95.616000000000014</v>
      </c>
      <c r="I991" s="299"/>
    </row>
    <row r="992" spans="1:9" hidden="1" x14ac:dyDescent="0.3">
      <c r="A992" s="298" t="s">
        <v>2340</v>
      </c>
      <c r="B992" s="298" t="s">
        <v>293</v>
      </c>
      <c r="C992" s="298" t="s">
        <v>2018</v>
      </c>
      <c r="D992" s="298" t="s">
        <v>2023</v>
      </c>
      <c r="E992" s="298">
        <v>23294.83</v>
      </c>
      <c r="F992" s="299">
        <v>29166.7</v>
      </c>
      <c r="G992" s="299">
        <v>35000</v>
      </c>
      <c r="H992" s="299">
        <f t="shared" si="10"/>
        <v>27953.796000000002</v>
      </c>
      <c r="I992" s="299"/>
    </row>
    <row r="993" spans="1:9" hidden="1" x14ac:dyDescent="0.3">
      <c r="A993" s="298" t="s">
        <v>2342</v>
      </c>
      <c r="B993" s="298" t="s">
        <v>1423</v>
      </c>
      <c r="C993" s="298" t="s">
        <v>1897</v>
      </c>
      <c r="D993" s="298" t="s">
        <v>1898</v>
      </c>
      <c r="E993" s="298">
        <v>2000</v>
      </c>
      <c r="F993" s="299">
        <v>2000</v>
      </c>
      <c r="G993" s="299">
        <v>6000</v>
      </c>
      <c r="H993" s="299">
        <f t="shared" si="10"/>
        <v>2400</v>
      </c>
      <c r="I993" s="299"/>
    </row>
    <row r="994" spans="1:9" hidden="1" x14ac:dyDescent="0.3">
      <c r="A994" s="298" t="s">
        <v>2344</v>
      </c>
      <c r="B994" s="298" t="s">
        <v>260</v>
      </c>
      <c r="C994" s="298" t="s">
        <v>1897</v>
      </c>
      <c r="D994" s="298" t="s">
        <v>1900</v>
      </c>
      <c r="E994" s="298">
        <v>13287.57</v>
      </c>
      <c r="F994" s="299">
        <v>6000</v>
      </c>
      <c r="G994" s="299">
        <v>2400</v>
      </c>
      <c r="H994" s="299">
        <f t="shared" ref="H994:H1057" si="11">+E994/10*12</f>
        <v>15945.084000000001</v>
      </c>
      <c r="I994" s="299"/>
    </row>
    <row r="995" spans="1:9" hidden="1" x14ac:dyDescent="0.3">
      <c r="A995" s="298" t="s">
        <v>2346</v>
      </c>
      <c r="B995" s="298" t="s">
        <v>263</v>
      </c>
      <c r="C995" s="298" t="s">
        <v>1897</v>
      </c>
      <c r="D995" s="298" t="s">
        <v>1902</v>
      </c>
      <c r="E995" s="298">
        <v>1095481.8500000001</v>
      </c>
      <c r="F995" s="299">
        <v>459333.3</v>
      </c>
      <c r="G995" s="299">
        <v>7200</v>
      </c>
      <c r="H995" s="299">
        <f t="shared" si="11"/>
        <v>1314578.2200000002</v>
      </c>
      <c r="I995" s="299"/>
    </row>
    <row r="996" spans="1:9" hidden="1" x14ac:dyDescent="0.3">
      <c r="A996" s="298" t="s">
        <v>2348</v>
      </c>
      <c r="B996" s="298" t="s">
        <v>263</v>
      </c>
      <c r="C996" s="298" t="s">
        <v>1897</v>
      </c>
      <c r="D996" s="298" t="s">
        <v>1904</v>
      </c>
      <c r="E996" s="298">
        <v>54009.04</v>
      </c>
      <c r="F996" s="299">
        <v>79416.7</v>
      </c>
      <c r="G996" s="299">
        <v>551200</v>
      </c>
      <c r="H996" s="299">
        <f t="shared" si="11"/>
        <v>64810.848000000005</v>
      </c>
      <c r="I996" s="299"/>
    </row>
    <row r="997" spans="1:9" hidden="1" x14ac:dyDescent="0.3">
      <c r="A997" s="298" t="s">
        <v>2350</v>
      </c>
      <c r="B997" s="298" t="s">
        <v>263</v>
      </c>
      <c r="C997" s="298" t="s">
        <v>1897</v>
      </c>
      <c r="D997" s="298" t="s">
        <v>1906</v>
      </c>
      <c r="E997" s="298">
        <v>50103.34</v>
      </c>
      <c r="F997" s="299">
        <v>105750</v>
      </c>
      <c r="G997" s="299">
        <v>95300</v>
      </c>
      <c r="H997" s="299">
        <f t="shared" si="11"/>
        <v>60124.008000000002</v>
      </c>
      <c r="I997" s="299"/>
    </row>
    <row r="998" spans="1:9" hidden="1" x14ac:dyDescent="0.3">
      <c r="A998" s="298" t="s">
        <v>2352</v>
      </c>
      <c r="B998" s="298" t="s">
        <v>263</v>
      </c>
      <c r="C998" s="298" t="s">
        <v>1897</v>
      </c>
      <c r="D998" s="298" t="s">
        <v>1908</v>
      </c>
      <c r="E998" s="298">
        <v>72997.73</v>
      </c>
      <c r="F998" s="299">
        <v>58916.7</v>
      </c>
      <c r="G998" s="299">
        <v>126900</v>
      </c>
      <c r="H998" s="299">
        <f t="shared" si="11"/>
        <v>87597.275999999983</v>
      </c>
      <c r="I998" s="299"/>
    </row>
    <row r="999" spans="1:9" hidden="1" x14ac:dyDescent="0.3">
      <c r="A999" s="298" t="s">
        <v>2354</v>
      </c>
      <c r="B999" s="298" t="s">
        <v>263</v>
      </c>
      <c r="C999" s="298" t="s">
        <v>1897</v>
      </c>
      <c r="D999" s="298" t="s">
        <v>1910</v>
      </c>
      <c r="E999" s="298">
        <v>4349.33</v>
      </c>
      <c r="F999" s="299">
        <v>0</v>
      </c>
      <c r="G999" s="299">
        <v>70700</v>
      </c>
      <c r="H999" s="299">
        <f t="shared" si="11"/>
        <v>5219.1959999999999</v>
      </c>
      <c r="I999" s="299"/>
    </row>
    <row r="1000" spans="1:9" hidden="1" x14ac:dyDescent="0.3">
      <c r="A1000" s="298" t="s">
        <v>2356</v>
      </c>
      <c r="B1000" s="298" t="s">
        <v>260</v>
      </c>
      <c r="C1000" s="298" t="s">
        <v>1897</v>
      </c>
      <c r="D1000" s="298" t="s">
        <v>1912</v>
      </c>
      <c r="E1000" s="298">
        <v>55942.2</v>
      </c>
      <c r="F1000" s="299">
        <v>54166.7</v>
      </c>
      <c r="G1000" s="299">
        <v>65000</v>
      </c>
      <c r="H1000" s="299">
        <f t="shared" si="11"/>
        <v>67130.639999999985</v>
      </c>
      <c r="I1000" s="299"/>
    </row>
    <row r="1001" spans="1:9" hidden="1" x14ac:dyDescent="0.3">
      <c r="A1001" s="298" t="s">
        <v>2358</v>
      </c>
      <c r="B1001" s="298" t="s">
        <v>524</v>
      </c>
      <c r="C1001" s="298" t="s">
        <v>1897</v>
      </c>
      <c r="D1001" s="298" t="s">
        <v>1914</v>
      </c>
      <c r="E1001" s="298">
        <v>92969.09</v>
      </c>
      <c r="F1001" s="299">
        <v>29166.7</v>
      </c>
      <c r="G1001" s="299">
        <v>35000</v>
      </c>
      <c r="H1001" s="299">
        <f t="shared" si="11"/>
        <v>111562.908</v>
      </c>
      <c r="I1001" s="299"/>
    </row>
    <row r="1002" spans="1:9" hidden="1" x14ac:dyDescent="0.3">
      <c r="A1002" s="298" t="s">
        <v>2360</v>
      </c>
      <c r="B1002" s="298" t="s">
        <v>260</v>
      </c>
      <c r="C1002" s="298" t="s">
        <v>1897</v>
      </c>
      <c r="D1002" s="298" t="s">
        <v>1916</v>
      </c>
      <c r="E1002" s="298">
        <v>5779.79</v>
      </c>
      <c r="F1002" s="299">
        <v>60000</v>
      </c>
      <c r="G1002" s="299">
        <v>72000</v>
      </c>
      <c r="H1002" s="299">
        <f t="shared" si="11"/>
        <v>6935.7480000000005</v>
      </c>
      <c r="I1002" s="299"/>
    </row>
    <row r="1003" spans="1:9" hidden="1" x14ac:dyDescent="0.3">
      <c r="A1003" s="298" t="s">
        <v>2363</v>
      </c>
      <c r="B1003" s="298" t="s">
        <v>280</v>
      </c>
      <c r="C1003" s="298" t="s">
        <v>1897</v>
      </c>
      <c r="D1003" s="298" t="s">
        <v>1920</v>
      </c>
      <c r="E1003" s="298">
        <v>30221</v>
      </c>
      <c r="F1003" s="299">
        <v>28650</v>
      </c>
      <c r="G1003" s="299">
        <v>34380</v>
      </c>
      <c r="H1003" s="299">
        <f t="shared" si="11"/>
        <v>36265.199999999997</v>
      </c>
      <c r="I1003" s="299"/>
    </row>
    <row r="1004" spans="1:9" hidden="1" x14ac:dyDescent="0.3">
      <c r="A1004" s="298" t="s">
        <v>2365</v>
      </c>
      <c r="B1004" s="298" t="s">
        <v>280</v>
      </c>
      <c r="C1004" s="298" t="s">
        <v>1897</v>
      </c>
      <c r="D1004" s="298" t="s">
        <v>1922</v>
      </c>
      <c r="E1004" s="298">
        <v>8267.06</v>
      </c>
      <c r="F1004" s="299">
        <v>8333.2999999999993</v>
      </c>
      <c r="G1004" s="299">
        <v>10000</v>
      </c>
      <c r="H1004" s="299">
        <f t="shared" si="11"/>
        <v>9920.4719999999979</v>
      </c>
      <c r="I1004" s="299"/>
    </row>
    <row r="1005" spans="1:9" hidden="1" x14ac:dyDescent="0.3">
      <c r="A1005" s="298" t="s">
        <v>2367</v>
      </c>
      <c r="B1005" s="298" t="s">
        <v>303</v>
      </c>
      <c r="C1005" s="298" t="s">
        <v>1897</v>
      </c>
      <c r="D1005" s="298" t="s">
        <v>1924</v>
      </c>
      <c r="E1005" s="298">
        <v>38070.720000000001</v>
      </c>
      <c r="F1005" s="299">
        <v>37500</v>
      </c>
      <c r="G1005" s="299">
        <v>45000</v>
      </c>
      <c r="H1005" s="299">
        <f t="shared" si="11"/>
        <v>45684.864000000001</v>
      </c>
      <c r="I1005" s="299"/>
    </row>
    <row r="1006" spans="1:9" hidden="1" x14ac:dyDescent="0.3">
      <c r="A1006" s="298" t="s">
        <v>2369</v>
      </c>
      <c r="B1006" s="298" t="s">
        <v>1423</v>
      </c>
      <c r="C1006" s="298" t="s">
        <v>1897</v>
      </c>
      <c r="D1006" s="298" t="s">
        <v>1928</v>
      </c>
      <c r="E1006" s="298">
        <v>231671.1</v>
      </c>
      <c r="F1006" s="299">
        <v>230071.1</v>
      </c>
      <c r="G1006" s="299">
        <v>276085.32</v>
      </c>
      <c r="H1006" s="299">
        <f t="shared" si="11"/>
        <v>278005.32</v>
      </c>
      <c r="I1006" s="299"/>
    </row>
    <row r="1007" spans="1:9" hidden="1" x14ac:dyDescent="0.3">
      <c r="A1007" s="298" t="s">
        <v>2371</v>
      </c>
      <c r="B1007" s="298" t="s">
        <v>1423</v>
      </c>
      <c r="C1007" s="298" t="s">
        <v>1897</v>
      </c>
      <c r="D1007" s="298" t="s">
        <v>1932</v>
      </c>
      <c r="E1007" s="298">
        <v>9246.2199999999993</v>
      </c>
      <c r="F1007" s="299">
        <v>7500</v>
      </c>
      <c r="G1007" s="299">
        <v>9000</v>
      </c>
      <c r="H1007" s="299">
        <f t="shared" si="11"/>
        <v>11095.464</v>
      </c>
      <c r="I1007" s="299"/>
    </row>
    <row r="1008" spans="1:9" hidden="1" x14ac:dyDescent="0.3">
      <c r="A1008" s="298" t="s">
        <v>2373</v>
      </c>
      <c r="B1008" s="298" t="s">
        <v>293</v>
      </c>
      <c r="C1008" s="298" t="s">
        <v>2011</v>
      </c>
      <c r="D1008" s="298" t="s">
        <v>2012</v>
      </c>
      <c r="E1008" s="298">
        <v>1767.99</v>
      </c>
      <c r="F1008" s="299">
        <v>1500</v>
      </c>
      <c r="G1008" s="299">
        <v>1800</v>
      </c>
      <c r="H1008" s="299">
        <f t="shared" si="11"/>
        <v>2121.5880000000002</v>
      </c>
      <c r="I1008" s="299"/>
    </row>
    <row r="1009" spans="1:9" hidden="1" x14ac:dyDescent="0.3">
      <c r="A1009" s="298" t="s">
        <v>2375</v>
      </c>
      <c r="B1009" s="298" t="s">
        <v>293</v>
      </c>
      <c r="C1009" s="298" t="s">
        <v>2011</v>
      </c>
      <c r="D1009" s="298" t="s">
        <v>2014</v>
      </c>
      <c r="E1009" s="298">
        <v>4867.5200000000004</v>
      </c>
      <c r="F1009" s="299">
        <v>4833.3</v>
      </c>
      <c r="G1009" s="299">
        <v>5800</v>
      </c>
      <c r="H1009" s="299">
        <f t="shared" si="11"/>
        <v>5841.0240000000013</v>
      </c>
      <c r="I1009" s="299"/>
    </row>
    <row r="1010" spans="1:9" hidden="1" x14ac:dyDescent="0.3">
      <c r="A1010" s="298" t="s">
        <v>2377</v>
      </c>
      <c r="B1010" s="298" t="s">
        <v>293</v>
      </c>
      <c r="C1010" s="298" t="s">
        <v>2011</v>
      </c>
      <c r="D1010" s="298" t="s">
        <v>2016</v>
      </c>
      <c r="E1010" s="298">
        <v>158235.23000000001</v>
      </c>
      <c r="F1010" s="299">
        <v>152500</v>
      </c>
      <c r="G1010" s="299">
        <v>183000</v>
      </c>
      <c r="H1010" s="299">
        <f t="shared" si="11"/>
        <v>189882.27600000001</v>
      </c>
      <c r="I1010" s="299"/>
    </row>
    <row r="1011" spans="1:9" hidden="1" x14ac:dyDescent="0.3">
      <c r="A1011" s="298" t="s">
        <v>2379</v>
      </c>
      <c r="B1011" s="298" t="s">
        <v>422</v>
      </c>
      <c r="C1011" s="298" t="s">
        <v>2011</v>
      </c>
      <c r="D1011" s="298" t="s">
        <v>2520</v>
      </c>
      <c r="E1011" s="298">
        <v>515.76</v>
      </c>
      <c r="F1011" s="299">
        <v>0</v>
      </c>
      <c r="G1011" s="299">
        <v>158728.79999999999</v>
      </c>
      <c r="H1011" s="299">
        <f t="shared" si="11"/>
        <v>618.91200000000003</v>
      </c>
      <c r="I1011" s="299"/>
    </row>
    <row r="1012" spans="1:9" hidden="1" x14ac:dyDescent="0.3">
      <c r="A1012" s="298" t="s">
        <v>2381</v>
      </c>
      <c r="B1012" s="298" t="s">
        <v>1423</v>
      </c>
      <c r="C1012" s="298" t="s">
        <v>1934</v>
      </c>
      <c r="D1012" s="298" t="s">
        <v>1935</v>
      </c>
      <c r="E1012" s="298">
        <v>0</v>
      </c>
      <c r="F1012" s="299">
        <v>14583.3</v>
      </c>
      <c r="G1012" s="299">
        <v>17500</v>
      </c>
      <c r="H1012" s="299">
        <f t="shared" si="11"/>
        <v>0</v>
      </c>
      <c r="I1012" s="299"/>
    </row>
    <row r="1013" spans="1:9" hidden="1" x14ac:dyDescent="0.3">
      <c r="A1013" s="298" t="s">
        <v>2383</v>
      </c>
      <c r="B1013" s="298" t="s">
        <v>1423</v>
      </c>
      <c r="C1013" s="298" t="s">
        <v>1934</v>
      </c>
      <c r="D1013" s="298" t="s">
        <v>1937</v>
      </c>
      <c r="E1013" s="298">
        <v>1492.97</v>
      </c>
      <c r="F1013" s="299">
        <v>1666.7</v>
      </c>
      <c r="G1013" s="299">
        <v>2000</v>
      </c>
      <c r="H1013" s="299">
        <f t="shared" si="11"/>
        <v>1791.5639999999999</v>
      </c>
      <c r="I1013" s="299"/>
    </row>
    <row r="1014" spans="1:9" hidden="1" x14ac:dyDescent="0.3">
      <c r="A1014" s="298" t="s">
        <v>2385</v>
      </c>
      <c r="B1014" s="298" t="s">
        <v>1423</v>
      </c>
      <c r="C1014" s="298" t="s">
        <v>1934</v>
      </c>
      <c r="D1014" s="298" t="s">
        <v>1939</v>
      </c>
      <c r="E1014" s="298">
        <v>4489.93</v>
      </c>
      <c r="F1014" s="299">
        <v>5000</v>
      </c>
      <c r="G1014" s="299">
        <v>6000</v>
      </c>
      <c r="H1014" s="299">
        <f t="shared" si="11"/>
        <v>5387.9160000000011</v>
      </c>
      <c r="I1014" s="299"/>
    </row>
    <row r="1015" spans="1:9" hidden="1" x14ac:dyDescent="0.3">
      <c r="A1015" s="298" t="s">
        <v>2387</v>
      </c>
      <c r="B1015" s="298" t="s">
        <v>293</v>
      </c>
      <c r="C1015" s="298" t="s">
        <v>1934</v>
      </c>
      <c r="D1015" s="298" t="s">
        <v>1945</v>
      </c>
      <c r="E1015" s="298">
        <v>4557.8999999999996</v>
      </c>
      <c r="F1015" s="299">
        <v>4583.3</v>
      </c>
      <c r="G1015" s="299">
        <v>5500</v>
      </c>
      <c r="H1015" s="299">
        <f t="shared" si="11"/>
        <v>5469.48</v>
      </c>
      <c r="I1015" s="299"/>
    </row>
    <row r="1016" spans="1:9" hidden="1" x14ac:dyDescent="0.3">
      <c r="A1016" s="298" t="s">
        <v>2389</v>
      </c>
      <c r="B1016" s="298" t="s">
        <v>293</v>
      </c>
      <c r="C1016" s="298" t="s">
        <v>1934</v>
      </c>
      <c r="D1016" s="298" t="s">
        <v>1947</v>
      </c>
      <c r="E1016" s="298">
        <v>2461.4899999999998</v>
      </c>
      <c r="F1016" s="299">
        <v>2916.7</v>
      </c>
      <c r="G1016" s="299">
        <v>3500</v>
      </c>
      <c r="H1016" s="299">
        <f t="shared" si="11"/>
        <v>2953.7879999999996</v>
      </c>
      <c r="I1016" s="299"/>
    </row>
    <row r="1017" spans="1:9" hidden="1" x14ac:dyDescent="0.3">
      <c r="A1017" s="298" t="s">
        <v>2391</v>
      </c>
      <c r="B1017" s="298" t="s">
        <v>293</v>
      </c>
      <c r="C1017" s="298" t="s">
        <v>1934</v>
      </c>
      <c r="D1017" s="298" t="s">
        <v>1949</v>
      </c>
      <c r="E1017" s="298">
        <v>2401.7399999999998</v>
      </c>
      <c r="F1017" s="299">
        <v>2666.7</v>
      </c>
      <c r="G1017" s="299">
        <v>3200</v>
      </c>
      <c r="H1017" s="299">
        <f t="shared" si="11"/>
        <v>2882.0879999999997</v>
      </c>
      <c r="I1017" s="299"/>
    </row>
    <row r="1018" spans="1:9" hidden="1" x14ac:dyDescent="0.3">
      <c r="A1018" s="298" t="s">
        <v>2393</v>
      </c>
      <c r="B1018" s="298" t="s">
        <v>293</v>
      </c>
      <c r="C1018" s="298" t="s">
        <v>1934</v>
      </c>
      <c r="D1018" s="298" t="s">
        <v>1951</v>
      </c>
      <c r="E1018" s="298">
        <v>0</v>
      </c>
      <c r="F1018" s="299">
        <v>58333.3</v>
      </c>
      <c r="G1018" s="299">
        <v>70000</v>
      </c>
      <c r="H1018" s="299">
        <f t="shared" si="11"/>
        <v>0</v>
      </c>
      <c r="I1018" s="299"/>
    </row>
    <row r="1019" spans="1:9" hidden="1" x14ac:dyDescent="0.3">
      <c r="A1019" s="298" t="s">
        <v>2395</v>
      </c>
      <c r="B1019" s="298" t="s">
        <v>293</v>
      </c>
      <c r="C1019" s="298" t="s">
        <v>1934</v>
      </c>
      <c r="D1019" s="298" t="s">
        <v>1953</v>
      </c>
      <c r="E1019" s="298">
        <v>1421.65</v>
      </c>
      <c r="F1019" s="299">
        <v>0</v>
      </c>
      <c r="G1019" s="299">
        <v>0</v>
      </c>
      <c r="H1019" s="299">
        <f t="shared" si="11"/>
        <v>1705.9800000000002</v>
      </c>
      <c r="I1019" s="299"/>
    </row>
    <row r="1020" spans="1:9" hidden="1" x14ac:dyDescent="0.3">
      <c r="A1020" s="298" t="s">
        <v>2397</v>
      </c>
      <c r="B1020" s="298" t="s">
        <v>293</v>
      </c>
      <c r="C1020" s="298" t="s">
        <v>1934</v>
      </c>
      <c r="D1020" s="298" t="s">
        <v>1955</v>
      </c>
      <c r="E1020" s="298">
        <v>1279.54</v>
      </c>
      <c r="F1020" s="299">
        <v>0</v>
      </c>
      <c r="G1020" s="299">
        <v>0</v>
      </c>
      <c r="H1020" s="299">
        <f t="shared" si="11"/>
        <v>1535.4479999999999</v>
      </c>
      <c r="I1020" s="299"/>
    </row>
    <row r="1021" spans="1:9" hidden="1" x14ac:dyDescent="0.3">
      <c r="A1021" s="298" t="s">
        <v>2399</v>
      </c>
      <c r="B1021" s="298" t="s">
        <v>293</v>
      </c>
      <c r="C1021" s="298" t="s">
        <v>1934</v>
      </c>
      <c r="D1021" s="298" t="s">
        <v>1957</v>
      </c>
      <c r="E1021" s="298">
        <v>1288.71</v>
      </c>
      <c r="F1021" s="299">
        <v>0</v>
      </c>
      <c r="G1021" s="299">
        <v>0</v>
      </c>
      <c r="H1021" s="299">
        <f t="shared" si="11"/>
        <v>1546.4520000000002</v>
      </c>
      <c r="I1021" s="299"/>
    </row>
    <row r="1022" spans="1:9" hidden="1" x14ac:dyDescent="0.3">
      <c r="A1022" s="298" t="s">
        <v>2401</v>
      </c>
      <c r="B1022" s="298" t="s">
        <v>293</v>
      </c>
      <c r="C1022" s="298" t="s">
        <v>1934</v>
      </c>
      <c r="D1022" s="298" t="s">
        <v>1959</v>
      </c>
      <c r="E1022" s="298">
        <v>1014.88</v>
      </c>
      <c r="F1022" s="299">
        <v>0</v>
      </c>
      <c r="G1022" s="299">
        <v>0</v>
      </c>
      <c r="H1022" s="299">
        <f t="shared" si="11"/>
        <v>1217.856</v>
      </c>
      <c r="I1022" s="299"/>
    </row>
    <row r="1023" spans="1:9" hidden="1" x14ac:dyDescent="0.3">
      <c r="A1023" s="298" t="s">
        <v>2403</v>
      </c>
      <c r="B1023" s="298" t="s">
        <v>293</v>
      </c>
      <c r="C1023" s="298" t="s">
        <v>1934</v>
      </c>
      <c r="D1023" s="298" t="s">
        <v>1961</v>
      </c>
      <c r="E1023" s="298">
        <v>1014.88</v>
      </c>
      <c r="F1023" s="299">
        <v>0</v>
      </c>
      <c r="G1023" s="299">
        <v>0</v>
      </c>
      <c r="H1023" s="299">
        <f t="shared" si="11"/>
        <v>1217.856</v>
      </c>
      <c r="I1023" s="299"/>
    </row>
    <row r="1024" spans="1:9" hidden="1" x14ac:dyDescent="0.3">
      <c r="A1024" s="298" t="s">
        <v>2405</v>
      </c>
      <c r="B1024" s="298" t="s">
        <v>293</v>
      </c>
      <c r="C1024" s="298" t="s">
        <v>1934</v>
      </c>
      <c r="D1024" s="298" t="s">
        <v>1963</v>
      </c>
      <c r="E1024" s="298">
        <v>1453.98</v>
      </c>
      <c r="F1024" s="299">
        <v>0</v>
      </c>
      <c r="G1024" s="299">
        <v>0</v>
      </c>
      <c r="H1024" s="299">
        <f t="shared" si="11"/>
        <v>1744.7759999999998</v>
      </c>
      <c r="I1024" s="299"/>
    </row>
    <row r="1025" spans="1:9" hidden="1" x14ac:dyDescent="0.3">
      <c r="A1025" s="298" t="s">
        <v>2407</v>
      </c>
      <c r="B1025" s="298" t="s">
        <v>293</v>
      </c>
      <c r="C1025" s="298" t="s">
        <v>1934</v>
      </c>
      <c r="D1025" s="298" t="s">
        <v>1965</v>
      </c>
      <c r="E1025" s="298">
        <v>1941.82</v>
      </c>
      <c r="F1025" s="299">
        <v>0</v>
      </c>
      <c r="G1025" s="299">
        <v>0</v>
      </c>
      <c r="H1025" s="299">
        <f t="shared" si="11"/>
        <v>2330.1839999999997</v>
      </c>
      <c r="I1025" s="299"/>
    </row>
    <row r="1026" spans="1:9" hidden="1" x14ac:dyDescent="0.3">
      <c r="A1026" s="298" t="s">
        <v>2409</v>
      </c>
      <c r="B1026" s="298" t="s">
        <v>293</v>
      </c>
      <c r="C1026" s="298" t="s">
        <v>1934</v>
      </c>
      <c r="D1026" s="298" t="s">
        <v>1967</v>
      </c>
      <c r="E1026" s="298">
        <v>2099.84</v>
      </c>
      <c r="F1026" s="299">
        <v>0</v>
      </c>
      <c r="G1026" s="299">
        <v>0</v>
      </c>
      <c r="H1026" s="299">
        <f t="shared" si="11"/>
        <v>2519.808</v>
      </c>
      <c r="I1026" s="299"/>
    </row>
    <row r="1027" spans="1:9" hidden="1" x14ac:dyDescent="0.3">
      <c r="A1027" s="298" t="s">
        <v>2411</v>
      </c>
      <c r="B1027" s="298" t="s">
        <v>293</v>
      </c>
      <c r="C1027" s="298" t="s">
        <v>1934</v>
      </c>
      <c r="D1027" s="298" t="s">
        <v>1969</v>
      </c>
      <c r="E1027" s="298">
        <v>1852.2</v>
      </c>
      <c r="F1027" s="299">
        <v>0</v>
      </c>
      <c r="G1027" s="299">
        <v>0</v>
      </c>
      <c r="H1027" s="299">
        <f t="shared" si="11"/>
        <v>2222.64</v>
      </c>
      <c r="I1027" s="299"/>
    </row>
    <row r="1028" spans="1:9" hidden="1" x14ac:dyDescent="0.3">
      <c r="A1028" s="298" t="s">
        <v>2413</v>
      </c>
      <c r="B1028" s="298" t="s">
        <v>293</v>
      </c>
      <c r="C1028" s="298" t="s">
        <v>1934</v>
      </c>
      <c r="D1028" s="298" t="s">
        <v>1971</v>
      </c>
      <c r="E1028" s="298">
        <v>1727.85</v>
      </c>
      <c r="F1028" s="299">
        <v>0</v>
      </c>
      <c r="G1028" s="299">
        <v>0</v>
      </c>
      <c r="H1028" s="299">
        <f t="shared" si="11"/>
        <v>2073.42</v>
      </c>
      <c r="I1028" s="299"/>
    </row>
    <row r="1029" spans="1:9" hidden="1" x14ac:dyDescent="0.3">
      <c r="A1029" s="298" t="s">
        <v>2415</v>
      </c>
      <c r="B1029" s="298" t="s">
        <v>293</v>
      </c>
      <c r="C1029" s="298" t="s">
        <v>1934</v>
      </c>
      <c r="D1029" s="298" t="s">
        <v>1973</v>
      </c>
      <c r="E1029" s="298">
        <v>1665.03</v>
      </c>
      <c r="F1029" s="299">
        <v>0</v>
      </c>
      <c r="G1029" s="299">
        <v>0</v>
      </c>
      <c r="H1029" s="299">
        <f t="shared" si="11"/>
        <v>1998.0359999999998</v>
      </c>
      <c r="I1029" s="299"/>
    </row>
    <row r="1030" spans="1:9" hidden="1" x14ac:dyDescent="0.3">
      <c r="A1030" s="298" t="s">
        <v>2417</v>
      </c>
      <c r="B1030" s="298" t="s">
        <v>293</v>
      </c>
      <c r="C1030" s="298" t="s">
        <v>1934</v>
      </c>
      <c r="D1030" s="298" t="s">
        <v>1975</v>
      </c>
      <c r="E1030" s="298">
        <v>1407.63</v>
      </c>
      <c r="F1030" s="299">
        <v>0</v>
      </c>
      <c r="G1030" s="299">
        <v>0</v>
      </c>
      <c r="H1030" s="299">
        <f t="shared" si="11"/>
        <v>1689.1559999999999</v>
      </c>
      <c r="I1030" s="299"/>
    </row>
    <row r="1031" spans="1:9" hidden="1" x14ac:dyDescent="0.3">
      <c r="A1031" s="298" t="s">
        <v>2419</v>
      </c>
      <c r="B1031" s="298" t="s">
        <v>293</v>
      </c>
      <c r="C1031" s="298" t="s">
        <v>1934</v>
      </c>
      <c r="D1031" s="298" t="s">
        <v>1977</v>
      </c>
      <c r="E1031" s="298">
        <v>1556.44</v>
      </c>
      <c r="F1031" s="299">
        <v>0</v>
      </c>
      <c r="G1031" s="299">
        <v>0</v>
      </c>
      <c r="H1031" s="299">
        <f t="shared" si="11"/>
        <v>1867.7280000000001</v>
      </c>
      <c r="I1031" s="299"/>
    </row>
    <row r="1032" spans="1:9" hidden="1" x14ac:dyDescent="0.3">
      <c r="A1032" s="298" t="s">
        <v>2421</v>
      </c>
      <c r="B1032" s="298" t="s">
        <v>293</v>
      </c>
      <c r="C1032" s="298" t="s">
        <v>1934</v>
      </c>
      <c r="D1032" s="298" t="s">
        <v>1979</v>
      </c>
      <c r="E1032" s="298">
        <v>1049.95</v>
      </c>
      <c r="F1032" s="299">
        <v>0</v>
      </c>
      <c r="G1032" s="299">
        <v>0</v>
      </c>
      <c r="H1032" s="299">
        <f t="shared" si="11"/>
        <v>1259.94</v>
      </c>
      <c r="I1032" s="299"/>
    </row>
    <row r="1033" spans="1:9" hidden="1" x14ac:dyDescent="0.3">
      <c r="A1033" s="298" t="s">
        <v>2423</v>
      </c>
      <c r="B1033" s="298" t="s">
        <v>293</v>
      </c>
      <c r="C1033" s="298" t="s">
        <v>1934</v>
      </c>
      <c r="D1033" s="298" t="s">
        <v>1981</v>
      </c>
      <c r="E1033" s="298">
        <v>1049.94</v>
      </c>
      <c r="F1033" s="299">
        <v>0</v>
      </c>
      <c r="G1033" s="299">
        <v>0</v>
      </c>
      <c r="H1033" s="299">
        <f t="shared" si="11"/>
        <v>1259.9279999999999</v>
      </c>
      <c r="I1033" s="299"/>
    </row>
    <row r="1034" spans="1:9" hidden="1" x14ac:dyDescent="0.3">
      <c r="A1034" s="298" t="s">
        <v>2425</v>
      </c>
      <c r="B1034" s="298" t="s">
        <v>293</v>
      </c>
      <c r="C1034" s="298" t="s">
        <v>1934</v>
      </c>
      <c r="D1034" s="298" t="s">
        <v>1983</v>
      </c>
      <c r="E1034" s="298">
        <v>1714.96</v>
      </c>
      <c r="F1034" s="299">
        <v>0</v>
      </c>
      <c r="G1034" s="299">
        <v>0</v>
      </c>
      <c r="H1034" s="299">
        <f t="shared" si="11"/>
        <v>2057.9520000000002</v>
      </c>
      <c r="I1034" s="299"/>
    </row>
    <row r="1035" spans="1:9" hidden="1" x14ac:dyDescent="0.3">
      <c r="A1035" s="298" t="s">
        <v>2427</v>
      </c>
      <c r="B1035" s="298" t="s">
        <v>293</v>
      </c>
      <c r="C1035" s="298" t="s">
        <v>1934</v>
      </c>
      <c r="D1035" s="298" t="s">
        <v>1985</v>
      </c>
      <c r="E1035" s="298">
        <v>1211.25</v>
      </c>
      <c r="F1035" s="299">
        <v>0</v>
      </c>
      <c r="G1035" s="299">
        <v>0</v>
      </c>
      <c r="H1035" s="299">
        <f t="shared" si="11"/>
        <v>1453.5</v>
      </c>
      <c r="I1035" s="299"/>
    </row>
    <row r="1036" spans="1:9" hidden="1" x14ac:dyDescent="0.3">
      <c r="A1036" s="298" t="s">
        <v>2429</v>
      </c>
      <c r="B1036" s="298" t="s">
        <v>293</v>
      </c>
      <c r="C1036" s="298" t="s">
        <v>1934</v>
      </c>
      <c r="D1036" s="298" t="s">
        <v>1987</v>
      </c>
      <c r="E1036" s="298">
        <v>1289.32</v>
      </c>
      <c r="F1036" s="299">
        <v>0</v>
      </c>
      <c r="G1036" s="299">
        <v>0</v>
      </c>
      <c r="H1036" s="299">
        <f t="shared" si="11"/>
        <v>1547.1839999999997</v>
      </c>
      <c r="I1036" s="299"/>
    </row>
    <row r="1037" spans="1:9" hidden="1" x14ac:dyDescent="0.3">
      <c r="A1037" s="298" t="s">
        <v>2431</v>
      </c>
      <c r="B1037" s="298" t="s">
        <v>293</v>
      </c>
      <c r="C1037" s="298" t="s">
        <v>1934</v>
      </c>
      <c r="D1037" s="298" t="s">
        <v>1989</v>
      </c>
      <c r="E1037" s="298">
        <v>1357.61</v>
      </c>
      <c r="F1037" s="299">
        <v>0</v>
      </c>
      <c r="G1037" s="299">
        <v>0</v>
      </c>
      <c r="H1037" s="299">
        <f t="shared" si="11"/>
        <v>1629.1320000000001</v>
      </c>
      <c r="I1037" s="299"/>
    </row>
    <row r="1038" spans="1:9" hidden="1" x14ac:dyDescent="0.3">
      <c r="A1038" s="298" t="s">
        <v>2433</v>
      </c>
      <c r="B1038" s="298" t="s">
        <v>293</v>
      </c>
      <c r="C1038" s="298" t="s">
        <v>1934</v>
      </c>
      <c r="D1038" s="298" t="s">
        <v>1991</v>
      </c>
      <c r="E1038" s="298">
        <v>1202.71</v>
      </c>
      <c r="F1038" s="299">
        <v>0</v>
      </c>
      <c r="G1038" s="299">
        <v>0</v>
      </c>
      <c r="H1038" s="299">
        <f t="shared" si="11"/>
        <v>1443.252</v>
      </c>
      <c r="I1038" s="299"/>
    </row>
    <row r="1039" spans="1:9" hidden="1" x14ac:dyDescent="0.3">
      <c r="A1039" s="298" t="s">
        <v>2435</v>
      </c>
      <c r="B1039" s="298" t="s">
        <v>293</v>
      </c>
      <c r="C1039" s="298" t="s">
        <v>1934</v>
      </c>
      <c r="D1039" s="298" t="s">
        <v>1993</v>
      </c>
      <c r="E1039" s="298">
        <v>847.73</v>
      </c>
      <c r="F1039" s="299">
        <v>0</v>
      </c>
      <c r="G1039" s="299">
        <v>0</v>
      </c>
      <c r="H1039" s="299">
        <f t="shared" si="11"/>
        <v>1017.276</v>
      </c>
      <c r="I1039" s="299"/>
    </row>
    <row r="1040" spans="1:9" hidden="1" x14ac:dyDescent="0.3">
      <c r="A1040" s="298" t="s">
        <v>2437</v>
      </c>
      <c r="B1040" s="298" t="s">
        <v>293</v>
      </c>
      <c r="C1040" s="298" t="s">
        <v>1934</v>
      </c>
      <c r="D1040" s="298" t="s">
        <v>1995</v>
      </c>
      <c r="E1040" s="298">
        <v>847.73</v>
      </c>
      <c r="F1040" s="299">
        <v>0</v>
      </c>
      <c r="G1040" s="299">
        <v>0</v>
      </c>
      <c r="H1040" s="299">
        <f t="shared" si="11"/>
        <v>1017.276</v>
      </c>
      <c r="I1040" s="299"/>
    </row>
    <row r="1041" spans="1:9" hidden="1" x14ac:dyDescent="0.3">
      <c r="A1041" s="298" t="s">
        <v>2439</v>
      </c>
      <c r="B1041" s="298" t="s">
        <v>293</v>
      </c>
      <c r="C1041" s="298" t="s">
        <v>2199</v>
      </c>
      <c r="D1041" s="298" t="s">
        <v>2238</v>
      </c>
      <c r="E1041" s="298">
        <v>1245.72</v>
      </c>
      <c r="F1041" s="299">
        <v>0</v>
      </c>
      <c r="G1041" s="299">
        <v>0</v>
      </c>
      <c r="H1041" s="299">
        <f t="shared" si="11"/>
        <v>1494.864</v>
      </c>
      <c r="I1041" s="299"/>
    </row>
    <row r="1042" spans="1:9" hidden="1" x14ac:dyDescent="0.3">
      <c r="A1042" s="298" t="s">
        <v>2441</v>
      </c>
      <c r="B1042" s="298" t="s">
        <v>263</v>
      </c>
      <c r="C1042" s="298" t="s">
        <v>2025</v>
      </c>
      <c r="D1042" s="298" t="s">
        <v>2032</v>
      </c>
      <c r="E1042" s="298">
        <v>1332.35</v>
      </c>
      <c r="F1042" s="299">
        <v>0</v>
      </c>
      <c r="G1042" s="299">
        <v>0</v>
      </c>
      <c r="H1042" s="299">
        <f t="shared" si="11"/>
        <v>1598.8199999999997</v>
      </c>
      <c r="I1042" s="299"/>
    </row>
    <row r="1043" spans="1:9" hidden="1" x14ac:dyDescent="0.3">
      <c r="A1043" s="298" t="s">
        <v>2443</v>
      </c>
      <c r="B1043" s="298" t="s">
        <v>1493</v>
      </c>
      <c r="C1043" s="298" t="s">
        <v>1287</v>
      </c>
      <c r="D1043" s="298" t="s">
        <v>1926</v>
      </c>
      <c r="E1043" s="298">
        <v>0</v>
      </c>
      <c r="F1043" s="299">
        <v>20833.3</v>
      </c>
      <c r="G1043" s="299">
        <v>25000</v>
      </c>
      <c r="H1043" s="299">
        <f t="shared" si="11"/>
        <v>0</v>
      </c>
      <c r="I1043" s="299"/>
    </row>
    <row r="1044" spans="1:9" hidden="1" x14ac:dyDescent="0.3">
      <c r="A1044" s="298" t="s">
        <v>2445</v>
      </c>
      <c r="B1044" s="298" t="s">
        <v>251</v>
      </c>
      <c r="C1044" s="298" t="s">
        <v>1287</v>
      </c>
      <c r="D1044" s="298" t="s">
        <v>1941</v>
      </c>
      <c r="E1044" s="298">
        <v>5162.79</v>
      </c>
      <c r="F1044" s="299">
        <v>5166.7</v>
      </c>
      <c r="G1044" s="299">
        <v>6200</v>
      </c>
      <c r="H1044" s="299">
        <f t="shared" si="11"/>
        <v>6195.348</v>
      </c>
      <c r="I1044" s="299"/>
    </row>
    <row r="1045" spans="1:9" hidden="1" x14ac:dyDescent="0.3">
      <c r="A1045" s="298" t="s">
        <v>2447</v>
      </c>
      <c r="B1045" s="298" t="s">
        <v>1423</v>
      </c>
      <c r="C1045" s="298" t="s">
        <v>2025</v>
      </c>
      <c r="D1045" s="298" t="s">
        <v>2034</v>
      </c>
      <c r="E1045" s="298">
        <v>26928.400000000001</v>
      </c>
      <c r="F1045" s="299">
        <v>25000</v>
      </c>
      <c r="G1045" s="299">
        <v>30000</v>
      </c>
      <c r="H1045" s="299">
        <f t="shared" si="11"/>
        <v>32314.080000000002</v>
      </c>
      <c r="I1045" s="299"/>
    </row>
    <row r="1046" spans="1:9" hidden="1" x14ac:dyDescent="0.3">
      <c r="A1046" s="298" t="s">
        <v>2450</v>
      </c>
      <c r="B1046" s="298" t="s">
        <v>1423</v>
      </c>
      <c r="C1046" s="298" t="s">
        <v>2025</v>
      </c>
      <c r="D1046" s="298" t="s">
        <v>2036</v>
      </c>
      <c r="E1046" s="298">
        <v>4975.7</v>
      </c>
      <c r="F1046" s="299">
        <v>5416.7</v>
      </c>
      <c r="G1046" s="299">
        <v>6500</v>
      </c>
      <c r="H1046" s="299">
        <f t="shared" si="11"/>
        <v>5970.84</v>
      </c>
      <c r="I1046" s="299"/>
    </row>
    <row r="1047" spans="1:9" hidden="1" x14ac:dyDescent="0.3">
      <c r="A1047" s="298" t="s">
        <v>2452</v>
      </c>
      <c r="B1047" s="298" t="s">
        <v>1423</v>
      </c>
      <c r="C1047" s="298" t="s">
        <v>2025</v>
      </c>
      <c r="D1047" s="298" t="s">
        <v>2038</v>
      </c>
      <c r="E1047" s="298">
        <v>23746.47</v>
      </c>
      <c r="F1047" s="299">
        <v>20000</v>
      </c>
      <c r="G1047" s="299">
        <v>24000</v>
      </c>
      <c r="H1047" s="299">
        <f t="shared" si="11"/>
        <v>28495.763999999999</v>
      </c>
      <c r="I1047" s="299"/>
    </row>
    <row r="1048" spans="1:9" hidden="1" x14ac:dyDescent="0.3">
      <c r="A1048" s="298" t="s">
        <v>2454</v>
      </c>
      <c r="B1048" s="298" t="s">
        <v>1423</v>
      </c>
      <c r="C1048" s="298" t="s">
        <v>2025</v>
      </c>
      <c r="D1048" s="298" t="s">
        <v>2040</v>
      </c>
      <c r="E1048" s="298">
        <v>10820.68</v>
      </c>
      <c r="F1048" s="299">
        <v>4166.7</v>
      </c>
      <c r="G1048" s="299">
        <v>5000</v>
      </c>
      <c r="H1048" s="299">
        <f t="shared" si="11"/>
        <v>12984.815999999999</v>
      </c>
      <c r="I1048" s="299"/>
    </row>
    <row r="1049" spans="1:9" hidden="1" x14ac:dyDescent="0.3">
      <c r="A1049" s="298" t="s">
        <v>2456</v>
      </c>
      <c r="B1049" s="298" t="s">
        <v>293</v>
      </c>
      <c r="C1049" s="298" t="s">
        <v>2025</v>
      </c>
      <c r="D1049" s="298" t="s">
        <v>2046</v>
      </c>
      <c r="E1049" s="298">
        <v>3596.51</v>
      </c>
      <c r="F1049" s="299">
        <v>4166.7</v>
      </c>
      <c r="G1049" s="299">
        <v>5000</v>
      </c>
      <c r="H1049" s="299">
        <f t="shared" si="11"/>
        <v>4315.8119999999999</v>
      </c>
      <c r="I1049" s="299"/>
    </row>
    <row r="1050" spans="1:9" hidden="1" x14ac:dyDescent="0.3">
      <c r="A1050" s="298" t="s">
        <v>2458</v>
      </c>
      <c r="B1050" s="298" t="s">
        <v>293</v>
      </c>
      <c r="C1050" s="298" t="s">
        <v>2025</v>
      </c>
      <c r="D1050" s="298" t="s">
        <v>2048</v>
      </c>
      <c r="E1050" s="298">
        <v>2412.29</v>
      </c>
      <c r="F1050" s="299">
        <v>2500</v>
      </c>
      <c r="G1050" s="299">
        <v>3000</v>
      </c>
      <c r="H1050" s="299">
        <f t="shared" si="11"/>
        <v>2894.7479999999996</v>
      </c>
      <c r="I1050" s="299"/>
    </row>
    <row r="1051" spans="1:9" hidden="1" x14ac:dyDescent="0.3">
      <c r="A1051" s="298" t="s">
        <v>2460</v>
      </c>
      <c r="B1051" s="298" t="s">
        <v>293</v>
      </c>
      <c r="C1051" s="298" t="s">
        <v>2025</v>
      </c>
      <c r="D1051" s="298" t="s">
        <v>2050</v>
      </c>
      <c r="E1051" s="298">
        <v>2069.65</v>
      </c>
      <c r="F1051" s="299">
        <v>2500</v>
      </c>
      <c r="G1051" s="299">
        <v>3000</v>
      </c>
      <c r="H1051" s="299">
        <f t="shared" si="11"/>
        <v>2483.58</v>
      </c>
      <c r="I1051" s="299"/>
    </row>
    <row r="1052" spans="1:9" hidden="1" x14ac:dyDescent="0.3">
      <c r="A1052" s="298" t="s">
        <v>2464</v>
      </c>
      <c r="B1052" s="298" t="s">
        <v>422</v>
      </c>
      <c r="C1052" s="298" t="s">
        <v>1393</v>
      </c>
      <c r="D1052" s="298" t="s">
        <v>1644</v>
      </c>
      <c r="E1052" s="298">
        <v>0</v>
      </c>
      <c r="F1052" s="299">
        <v>2500</v>
      </c>
      <c r="G1052" s="299">
        <v>3000</v>
      </c>
      <c r="H1052" s="299">
        <f t="shared" si="11"/>
        <v>0</v>
      </c>
      <c r="I1052" s="299"/>
    </row>
    <row r="1053" spans="1:9" hidden="1" x14ac:dyDescent="0.3">
      <c r="A1053" s="298" t="s">
        <v>2466</v>
      </c>
      <c r="B1053" s="298" t="s">
        <v>293</v>
      </c>
      <c r="C1053" s="298" t="s">
        <v>2025</v>
      </c>
      <c r="D1053" s="298" t="s">
        <v>2052</v>
      </c>
      <c r="E1053" s="298">
        <v>0</v>
      </c>
      <c r="F1053" s="299">
        <v>33333.300000000003</v>
      </c>
      <c r="G1053" s="299">
        <v>40000</v>
      </c>
      <c r="H1053" s="299">
        <f t="shared" si="11"/>
        <v>0</v>
      </c>
      <c r="I1053" s="299"/>
    </row>
    <row r="1054" spans="1:9" hidden="1" x14ac:dyDescent="0.3">
      <c r="A1054" s="298" t="s">
        <v>2468</v>
      </c>
      <c r="B1054" s="298" t="s">
        <v>293</v>
      </c>
      <c r="C1054" s="298" t="s">
        <v>2025</v>
      </c>
      <c r="D1054" s="298" t="s">
        <v>2054</v>
      </c>
      <c r="E1054" s="298">
        <v>1196.56</v>
      </c>
      <c r="F1054" s="299">
        <v>0</v>
      </c>
      <c r="G1054" s="299">
        <v>0</v>
      </c>
      <c r="H1054" s="299">
        <f t="shared" si="11"/>
        <v>1435.8719999999998</v>
      </c>
      <c r="I1054" s="299"/>
    </row>
    <row r="1055" spans="1:9" hidden="1" x14ac:dyDescent="0.3">
      <c r="A1055" s="298" t="s">
        <v>2470</v>
      </c>
      <c r="B1055" s="298" t="s">
        <v>293</v>
      </c>
      <c r="C1055" s="298" t="s">
        <v>2025</v>
      </c>
      <c r="D1055" s="298" t="s">
        <v>2056</v>
      </c>
      <c r="E1055" s="298">
        <v>812.14</v>
      </c>
      <c r="F1055" s="299">
        <v>0</v>
      </c>
      <c r="G1055" s="299">
        <v>0</v>
      </c>
      <c r="H1055" s="299">
        <f t="shared" si="11"/>
        <v>974.56799999999998</v>
      </c>
      <c r="I1055" s="299"/>
    </row>
    <row r="1056" spans="1:9" hidden="1" x14ac:dyDescent="0.3">
      <c r="A1056" s="298" t="s">
        <v>2472</v>
      </c>
      <c r="B1056" s="298" t="s">
        <v>251</v>
      </c>
      <c r="C1056" s="298" t="s">
        <v>1393</v>
      </c>
      <c r="D1056" s="298" t="s">
        <v>1646</v>
      </c>
      <c r="E1056" s="298">
        <v>0</v>
      </c>
      <c r="F1056" s="299">
        <v>2500</v>
      </c>
      <c r="G1056" s="299">
        <v>3000</v>
      </c>
      <c r="H1056" s="299">
        <f t="shared" si="11"/>
        <v>0</v>
      </c>
      <c r="I1056" s="299"/>
    </row>
    <row r="1057" spans="1:9" hidden="1" x14ac:dyDescent="0.3">
      <c r="A1057" s="298" t="s">
        <v>2474</v>
      </c>
      <c r="B1057" s="298" t="s">
        <v>293</v>
      </c>
      <c r="C1057" s="298" t="s">
        <v>2025</v>
      </c>
      <c r="D1057" s="298" t="s">
        <v>2058</v>
      </c>
      <c r="E1057" s="298">
        <v>831.41</v>
      </c>
      <c r="F1057" s="299">
        <v>0</v>
      </c>
      <c r="G1057" s="299">
        <v>0</v>
      </c>
      <c r="H1057" s="299">
        <f t="shared" si="11"/>
        <v>997.69199999999989</v>
      </c>
      <c r="I1057" s="299"/>
    </row>
    <row r="1058" spans="1:9" hidden="1" x14ac:dyDescent="0.3">
      <c r="A1058" s="298" t="s">
        <v>2476</v>
      </c>
      <c r="B1058" s="298" t="s">
        <v>293</v>
      </c>
      <c r="C1058" s="298" t="s">
        <v>2025</v>
      </c>
      <c r="D1058" s="298" t="s">
        <v>2060</v>
      </c>
      <c r="E1058" s="298">
        <v>1022.96</v>
      </c>
      <c r="F1058" s="299">
        <v>0</v>
      </c>
      <c r="G1058" s="299">
        <v>0</v>
      </c>
      <c r="H1058" s="299">
        <f t="shared" ref="H1058:H1079" si="12">+E1058/10*12</f>
        <v>1227.5520000000001</v>
      </c>
      <c r="I1058" s="299"/>
    </row>
    <row r="1059" spans="1:9" hidden="1" x14ac:dyDescent="0.3">
      <c r="A1059" s="298" t="s">
        <v>2478</v>
      </c>
      <c r="B1059" s="298" t="s">
        <v>293</v>
      </c>
      <c r="C1059" s="298" t="s">
        <v>2025</v>
      </c>
      <c r="D1059" s="298" t="s">
        <v>2062</v>
      </c>
      <c r="E1059" s="298">
        <v>1038.8</v>
      </c>
      <c r="F1059" s="299">
        <v>0</v>
      </c>
      <c r="G1059" s="299">
        <v>0</v>
      </c>
      <c r="H1059" s="299">
        <f t="shared" si="12"/>
        <v>1246.56</v>
      </c>
      <c r="I1059" s="299"/>
    </row>
    <row r="1060" spans="1:9" hidden="1" x14ac:dyDescent="0.3">
      <c r="A1060" s="298" t="s">
        <v>2480</v>
      </c>
      <c r="B1060" s="298" t="s">
        <v>293</v>
      </c>
      <c r="C1060" s="298" t="s">
        <v>2025</v>
      </c>
      <c r="D1060" s="298" t="s">
        <v>2064</v>
      </c>
      <c r="E1060" s="298">
        <v>898.75</v>
      </c>
      <c r="F1060" s="299">
        <v>0</v>
      </c>
      <c r="G1060" s="299">
        <v>0</v>
      </c>
      <c r="H1060" s="299">
        <f t="shared" si="12"/>
        <v>1078.5</v>
      </c>
      <c r="I1060" s="299"/>
    </row>
    <row r="1061" spans="1:9" hidden="1" x14ac:dyDescent="0.3">
      <c r="A1061" s="298" t="s">
        <v>2484</v>
      </c>
      <c r="B1061" s="298" t="s">
        <v>293</v>
      </c>
      <c r="C1061" s="298" t="s">
        <v>1934</v>
      </c>
      <c r="D1061" s="298" t="s">
        <v>1997</v>
      </c>
      <c r="E1061" s="298">
        <v>1485.69</v>
      </c>
      <c r="F1061" s="299">
        <v>0</v>
      </c>
      <c r="G1061" s="299">
        <v>0</v>
      </c>
      <c r="H1061" s="299">
        <f t="shared" si="12"/>
        <v>1782.8280000000002</v>
      </c>
      <c r="I1061" s="299"/>
    </row>
    <row r="1062" spans="1:9" hidden="1" x14ac:dyDescent="0.3">
      <c r="A1062" s="298" t="s">
        <v>2487</v>
      </c>
      <c r="B1062" s="298" t="s">
        <v>293</v>
      </c>
      <c r="C1062" s="298" t="s">
        <v>1934</v>
      </c>
      <c r="D1062" s="298" t="s">
        <v>1999</v>
      </c>
      <c r="E1062" s="298">
        <v>2507.63</v>
      </c>
      <c r="F1062" s="299">
        <v>0</v>
      </c>
      <c r="G1062" s="299">
        <v>0</v>
      </c>
      <c r="H1062" s="299">
        <f t="shared" si="12"/>
        <v>3009.1559999999999</v>
      </c>
      <c r="I1062" s="299"/>
    </row>
    <row r="1063" spans="1:9" hidden="1" x14ac:dyDescent="0.3">
      <c r="A1063" s="298" t="s">
        <v>2490</v>
      </c>
      <c r="B1063" s="298" t="s">
        <v>293</v>
      </c>
      <c r="C1063" s="298" t="s">
        <v>1934</v>
      </c>
      <c r="D1063" s="298" t="s">
        <v>2001</v>
      </c>
      <c r="E1063" s="298">
        <v>2788.2</v>
      </c>
      <c r="F1063" s="299">
        <v>0</v>
      </c>
      <c r="G1063" s="299">
        <v>0</v>
      </c>
      <c r="H1063" s="299">
        <f t="shared" si="12"/>
        <v>3345.84</v>
      </c>
      <c r="I1063" s="299"/>
    </row>
    <row r="1064" spans="1:9" hidden="1" x14ac:dyDescent="0.3">
      <c r="A1064" s="298" t="s">
        <v>2492</v>
      </c>
      <c r="B1064" s="298" t="s">
        <v>293</v>
      </c>
      <c r="C1064" s="298" t="s">
        <v>1934</v>
      </c>
      <c r="D1064" s="298" t="s">
        <v>2003</v>
      </c>
      <c r="E1064" s="298">
        <v>2119.33</v>
      </c>
      <c r="F1064" s="299">
        <v>0</v>
      </c>
      <c r="G1064" s="299">
        <v>0</v>
      </c>
      <c r="H1064" s="299">
        <f t="shared" si="12"/>
        <v>2543.1959999999999</v>
      </c>
      <c r="I1064" s="299"/>
    </row>
    <row r="1065" spans="1:9" hidden="1" x14ac:dyDescent="0.3">
      <c r="A1065" s="298" t="s">
        <v>2494</v>
      </c>
      <c r="B1065" s="298" t="s">
        <v>293</v>
      </c>
      <c r="C1065" s="298" t="s">
        <v>1934</v>
      </c>
      <c r="D1065" s="298" t="s">
        <v>2005</v>
      </c>
      <c r="E1065" s="298">
        <v>2189.5</v>
      </c>
      <c r="F1065" s="299">
        <v>0</v>
      </c>
      <c r="G1065" s="299">
        <v>0</v>
      </c>
      <c r="H1065" s="299">
        <f t="shared" si="12"/>
        <v>2627.3999999999996</v>
      </c>
      <c r="I1065" s="299"/>
    </row>
    <row r="1066" spans="1:9" hidden="1" x14ac:dyDescent="0.3">
      <c r="A1066" s="298" t="s">
        <v>2496</v>
      </c>
      <c r="B1066" s="298" t="s">
        <v>293</v>
      </c>
      <c r="C1066" s="298" t="s">
        <v>1934</v>
      </c>
      <c r="D1066" s="298" t="s">
        <v>2007</v>
      </c>
      <c r="E1066" s="298">
        <v>3594.74</v>
      </c>
      <c r="F1066" s="299">
        <v>0</v>
      </c>
      <c r="G1066" s="299">
        <v>0</v>
      </c>
      <c r="H1066" s="299">
        <f t="shared" si="12"/>
        <v>4313.6880000000001</v>
      </c>
      <c r="I1066" s="299"/>
    </row>
    <row r="1067" spans="1:9" hidden="1" x14ac:dyDescent="0.3">
      <c r="A1067" s="298" t="s">
        <v>2498</v>
      </c>
      <c r="B1067" s="298" t="s">
        <v>280</v>
      </c>
      <c r="C1067" s="298" t="s">
        <v>1934</v>
      </c>
      <c r="D1067" s="298" t="s">
        <v>2009</v>
      </c>
      <c r="E1067" s="298">
        <v>3689.73</v>
      </c>
      <c r="F1067" s="299">
        <v>4166.7</v>
      </c>
      <c r="G1067" s="299">
        <v>5000</v>
      </c>
      <c r="H1067" s="299">
        <f t="shared" si="12"/>
        <v>4427.6760000000004</v>
      </c>
      <c r="I1067" s="299"/>
    </row>
    <row r="1068" spans="1:9" hidden="1" x14ac:dyDescent="0.3">
      <c r="A1068" s="298" t="s">
        <v>2500</v>
      </c>
      <c r="B1068" s="298" t="s">
        <v>1423</v>
      </c>
      <c r="C1068" s="298" t="s">
        <v>1510</v>
      </c>
      <c r="D1068" s="298" t="s">
        <v>1895</v>
      </c>
      <c r="E1068" s="298">
        <v>0</v>
      </c>
      <c r="F1068" s="299">
        <v>5000</v>
      </c>
      <c r="H1068" s="299">
        <f t="shared" si="12"/>
        <v>0</v>
      </c>
      <c r="I1068" s="299"/>
    </row>
    <row r="1069" spans="1:9" hidden="1" x14ac:dyDescent="0.3">
      <c r="A1069" s="298" t="s">
        <v>2502</v>
      </c>
      <c r="B1069" s="298" t="s">
        <v>1423</v>
      </c>
      <c r="C1069" s="298" t="s">
        <v>1510</v>
      </c>
      <c r="D1069" s="298" t="s">
        <v>1930</v>
      </c>
      <c r="E1069" s="298">
        <v>2400</v>
      </c>
      <c r="F1069" s="299">
        <v>6250</v>
      </c>
      <c r="G1069" s="299">
        <v>7500</v>
      </c>
      <c r="H1069" s="299">
        <f t="shared" si="12"/>
        <v>2880</v>
      </c>
      <c r="I1069" s="299"/>
    </row>
    <row r="1070" spans="1:9" hidden="1" x14ac:dyDescent="0.3">
      <c r="A1070" s="298" t="s">
        <v>2504</v>
      </c>
      <c r="B1070" s="298" t="s">
        <v>293</v>
      </c>
      <c r="C1070" s="298" t="s">
        <v>1510</v>
      </c>
      <c r="D1070" s="298" t="s">
        <v>1511</v>
      </c>
      <c r="E1070" s="298">
        <v>3415.63</v>
      </c>
      <c r="F1070" s="299">
        <v>0</v>
      </c>
      <c r="G1070" s="299">
        <v>0</v>
      </c>
      <c r="H1070" s="299">
        <f t="shared" si="12"/>
        <v>4098.7559999999994</v>
      </c>
      <c r="I1070" s="299"/>
    </row>
    <row r="1071" spans="1:9" hidden="1" x14ac:dyDescent="0.3">
      <c r="A1071" s="298" t="s">
        <v>2506</v>
      </c>
      <c r="B1071" s="298" t="s">
        <v>293</v>
      </c>
      <c r="C1071" s="298" t="s">
        <v>1510</v>
      </c>
      <c r="D1071" s="298" t="s">
        <v>1513</v>
      </c>
      <c r="E1071" s="298">
        <v>2176.89</v>
      </c>
      <c r="F1071" s="299">
        <v>0</v>
      </c>
      <c r="G1071" s="299">
        <v>0</v>
      </c>
      <c r="H1071" s="299">
        <f t="shared" si="12"/>
        <v>2612.268</v>
      </c>
      <c r="I1071" s="294"/>
    </row>
    <row r="1072" spans="1:9" hidden="1" x14ac:dyDescent="0.3">
      <c r="A1072" s="298" t="s">
        <v>2508</v>
      </c>
      <c r="B1072" s="298" t="s">
        <v>257</v>
      </c>
      <c r="C1072" s="298" t="s">
        <v>1499</v>
      </c>
      <c r="D1072" s="298" t="s">
        <v>1943</v>
      </c>
      <c r="E1072" s="298">
        <v>3912.3</v>
      </c>
      <c r="F1072" s="299">
        <v>4166.7</v>
      </c>
      <c r="G1072" s="299">
        <v>5000</v>
      </c>
      <c r="H1072" s="299">
        <f t="shared" si="12"/>
        <v>4694.76</v>
      </c>
      <c r="I1072" s="299"/>
    </row>
    <row r="1073" spans="1:9" hidden="1" x14ac:dyDescent="0.3">
      <c r="A1073" s="298" t="s">
        <v>2510</v>
      </c>
      <c r="B1073" s="298" t="s">
        <v>1423</v>
      </c>
      <c r="C1073" s="298" t="s">
        <v>1499</v>
      </c>
      <c r="D1073" s="298" t="s">
        <v>1500</v>
      </c>
      <c r="E1073" s="298">
        <v>66696.47</v>
      </c>
      <c r="F1073" s="299">
        <v>58333.3</v>
      </c>
      <c r="G1073" s="299">
        <v>70000</v>
      </c>
      <c r="H1073" s="299">
        <f t="shared" si="12"/>
        <v>80035.763999999996</v>
      </c>
      <c r="I1073" s="299"/>
    </row>
    <row r="1074" spans="1:9" hidden="1" x14ac:dyDescent="0.3">
      <c r="A1074" s="298" t="s">
        <v>2512</v>
      </c>
      <c r="B1074" s="298" t="s">
        <v>1423</v>
      </c>
      <c r="C1074" s="298" t="s">
        <v>1499</v>
      </c>
      <c r="D1074" s="298" t="s">
        <v>1502</v>
      </c>
      <c r="E1074" s="298">
        <v>17633.07</v>
      </c>
      <c r="F1074" s="299">
        <v>18333.3</v>
      </c>
      <c r="G1074" s="299">
        <v>22000</v>
      </c>
      <c r="H1074" s="299">
        <f t="shared" si="12"/>
        <v>21159.684000000001</v>
      </c>
      <c r="I1074" s="299"/>
    </row>
    <row r="1075" spans="1:9" hidden="1" x14ac:dyDescent="0.3">
      <c r="A1075" s="298" t="s">
        <v>2516</v>
      </c>
      <c r="B1075" s="298" t="s">
        <v>1423</v>
      </c>
      <c r="C1075" s="298" t="s">
        <v>1499</v>
      </c>
      <c r="D1075" s="298" t="s">
        <v>1504</v>
      </c>
      <c r="E1075" s="298">
        <v>44553.72</v>
      </c>
      <c r="F1075" s="299">
        <v>41666.699999999997</v>
      </c>
      <c r="G1075" s="299">
        <v>50000</v>
      </c>
      <c r="H1075" s="299">
        <f t="shared" si="12"/>
        <v>53464.464000000007</v>
      </c>
      <c r="I1075" s="299"/>
    </row>
    <row r="1076" spans="1:9" hidden="1" x14ac:dyDescent="0.3">
      <c r="A1076" s="298" t="s">
        <v>2519</v>
      </c>
      <c r="B1076" s="298" t="s">
        <v>1430</v>
      </c>
      <c r="C1076" s="298" t="s">
        <v>1499</v>
      </c>
      <c r="D1076" s="298" t="s">
        <v>1506</v>
      </c>
      <c r="E1076" s="298">
        <v>6671.03</v>
      </c>
      <c r="F1076" s="299">
        <v>3333.3</v>
      </c>
      <c r="G1076" s="299">
        <v>4000</v>
      </c>
      <c r="H1076" s="299">
        <f t="shared" si="12"/>
        <v>8005.235999999999</v>
      </c>
      <c r="I1076" s="299"/>
    </row>
    <row r="1077" spans="1:9" hidden="1" x14ac:dyDescent="0.3">
      <c r="A1077" s="298"/>
      <c r="B1077" s="298" t="s">
        <v>280</v>
      </c>
      <c r="C1077" s="298" t="s">
        <v>1515</v>
      </c>
      <c r="D1077" s="298" t="s">
        <v>1565</v>
      </c>
      <c r="E1077" s="298">
        <v>1967.77</v>
      </c>
      <c r="F1077" s="299">
        <v>600</v>
      </c>
      <c r="G1077" s="299">
        <v>720</v>
      </c>
      <c r="H1077" s="299">
        <f t="shared" si="12"/>
        <v>2361.3239999999996</v>
      </c>
      <c r="I1077" s="299"/>
    </row>
    <row r="1078" spans="1:9" hidden="1" x14ac:dyDescent="0.3">
      <c r="A1078" s="298"/>
      <c r="B1078" s="298" t="s">
        <v>480</v>
      </c>
      <c r="C1078" s="298" t="s">
        <v>1662</v>
      </c>
      <c r="D1078" s="298" t="s">
        <v>1670</v>
      </c>
      <c r="E1078" s="298">
        <v>419.73</v>
      </c>
      <c r="F1078" s="299">
        <v>0</v>
      </c>
      <c r="G1078" s="299">
        <v>0</v>
      </c>
      <c r="H1078" s="299">
        <f t="shared" si="12"/>
        <v>503.67599999999999</v>
      </c>
      <c r="I1078" s="299"/>
    </row>
    <row r="1079" spans="1:9" hidden="1" x14ac:dyDescent="0.3">
      <c r="A1079" s="298"/>
      <c r="B1079" s="298" t="s">
        <v>280</v>
      </c>
      <c r="C1079" s="298" t="s">
        <v>1478</v>
      </c>
      <c r="D1079" s="298" t="s">
        <v>1483</v>
      </c>
      <c r="E1079" s="298">
        <v>4373</v>
      </c>
      <c r="F1079" s="299">
        <v>250</v>
      </c>
      <c r="G1079" s="299">
        <v>300</v>
      </c>
      <c r="H1079" s="299">
        <f t="shared" si="12"/>
        <v>5247.6</v>
      </c>
      <c r="I1079" s="299"/>
    </row>
    <row r="1080" spans="1:9" x14ac:dyDescent="0.3">
      <c r="A1080" s="307"/>
      <c r="B1080" s="307"/>
      <c r="C1080" s="307"/>
      <c r="D1080" s="307"/>
      <c r="E1080" s="308"/>
      <c r="F1080" s="309"/>
      <c r="G1080" s="299"/>
      <c r="H1080" s="298"/>
      <c r="I1080" s="298"/>
    </row>
    <row r="1081" spans="1:9" x14ac:dyDescent="0.3">
      <c r="G1081" s="299">
        <v>0</v>
      </c>
      <c r="H1081" s="298"/>
      <c r="I1081" s="298"/>
    </row>
    <row r="1082" spans="1:9" x14ac:dyDescent="0.3">
      <c r="F1082"/>
      <c r="G1082"/>
    </row>
    <row r="1083" spans="1:9" x14ac:dyDescent="0.3">
      <c r="F1083"/>
      <c r="G1083"/>
    </row>
  </sheetData>
  <autoFilter ref="A4:H1079" xr:uid="{00000000-0009-0000-0000-000004000000}">
    <filterColumn colId="1">
      <filters>
        <filter val="72 5 4 76 10"/>
        <filter val="72 5 40 76 10"/>
      </filters>
    </filterColumn>
    <sortState xmlns:xlrd2="http://schemas.microsoft.com/office/spreadsheetml/2017/richdata2" ref="A5:H1079">
      <sortCondition ref="A4"/>
    </sortState>
  </autoFilter>
  <dataConsolidate/>
  <pageMargins left="0.7" right="0.7" top="0.75" bottom="0.75" header="0.3" footer="0.3"/>
  <pageSetup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AC109"/>
  <sheetViews>
    <sheetView topLeftCell="A5" zoomScaleNormal="100" workbookViewId="0">
      <pane xSplit="1" ySplit="13" topLeftCell="B21" activePane="bottomRight" state="frozen"/>
      <selection activeCell="A5" sqref="A5"/>
      <selection pane="topRight" activeCell="B5" sqref="B5"/>
      <selection pane="bottomLeft" activeCell="A18" sqref="A18"/>
      <selection pane="bottomRight" activeCell="A28" sqref="A28:XFD28"/>
    </sheetView>
  </sheetViews>
  <sheetFormatPr defaultColWidth="9.33203125" defaultRowHeight="13.8" outlineLevelRow="1" outlineLevelCol="1" x14ac:dyDescent="0.25"/>
  <cols>
    <col min="1" max="1" width="60.6640625" style="8" bestFit="1" customWidth="1"/>
    <col min="2" max="2" width="14.44140625" style="8" hidden="1" customWidth="1" outlineLevel="1"/>
    <col min="3" max="4" width="13.33203125" style="8" hidden="1" customWidth="1" outlineLevel="1"/>
    <col min="5" max="5" width="10.6640625" style="8" hidden="1" customWidth="1" outlineLevel="1"/>
    <col min="6" max="6" width="9.6640625" style="8" hidden="1" customWidth="1" outlineLevel="1"/>
    <col min="7" max="7" width="9.44140625" style="8" hidden="1" customWidth="1" outlineLevel="1"/>
    <col min="8" max="8" width="12.6640625" style="8" hidden="1" customWidth="1" outlineLevel="1"/>
    <col min="9" max="9" width="14.6640625" style="8" hidden="1" customWidth="1" outlineLevel="1" collapsed="1"/>
    <col min="10" max="10" width="8" style="8" hidden="1" customWidth="1" outlineLevel="1" collapsed="1"/>
    <col min="11" max="11" width="8" style="8" hidden="1" customWidth="1" outlineLevel="1"/>
    <col min="12" max="12" width="6" style="8" hidden="1" customWidth="1" outlineLevel="1"/>
    <col min="13" max="13" width="14.77734375" style="8" bestFit="1" customWidth="1" collapsed="1"/>
    <col min="14" max="14" width="8" style="8" bestFit="1" customWidth="1"/>
    <col min="15" max="15" width="9.6640625" style="8" customWidth="1"/>
    <col min="16" max="16" width="6" style="8" bestFit="1" customWidth="1"/>
    <col min="17" max="17" width="14.44140625" style="8" bestFit="1" customWidth="1"/>
    <col min="18" max="18" width="8" style="8" bestFit="1" customWidth="1"/>
    <col min="19" max="19" width="9.6640625" style="8" customWidth="1"/>
    <col min="20" max="20" width="9.44140625" style="8" bestFit="1" customWidth="1"/>
    <col min="21" max="21" width="17.44140625" style="8" bestFit="1" customWidth="1"/>
    <col min="22" max="22" width="8" style="8" bestFit="1" customWidth="1"/>
    <col min="23" max="23" width="10.6640625" style="8" customWidth="1"/>
    <col min="24" max="24" width="8.44140625" style="8" bestFit="1" customWidth="1"/>
    <col min="25" max="25" width="14.6640625" style="8" bestFit="1" customWidth="1"/>
    <col min="26" max="26" width="8" style="8" bestFit="1" customWidth="1"/>
    <col min="27" max="27" width="10" style="8" customWidth="1"/>
    <col min="28" max="28" width="6" style="8" bestFit="1" customWidth="1"/>
    <col min="29" max="29" width="14.6640625" style="8" bestFit="1" customWidth="1"/>
    <col min="30" max="16384" width="9.33203125" style="8"/>
  </cols>
  <sheetData>
    <row r="5" spans="1:29" ht="41.4" x14ac:dyDescent="0.25">
      <c r="A5" s="37"/>
      <c r="B5" s="38" t="s">
        <v>189</v>
      </c>
      <c r="C5" s="39" t="s">
        <v>109</v>
      </c>
      <c r="D5" s="39" t="s">
        <v>109</v>
      </c>
      <c r="E5" s="39" t="s">
        <v>109</v>
      </c>
      <c r="F5" s="39" t="s">
        <v>109</v>
      </c>
      <c r="G5" s="39" t="s">
        <v>109</v>
      </c>
      <c r="H5" s="39" t="s">
        <v>109</v>
      </c>
      <c r="I5" s="38" t="s">
        <v>190</v>
      </c>
      <c r="J5" s="40" t="s">
        <v>110</v>
      </c>
      <c r="K5" s="41" t="s">
        <v>111</v>
      </c>
      <c r="L5" s="41" t="s">
        <v>112</v>
      </c>
      <c r="M5" s="38" t="s">
        <v>191</v>
      </c>
      <c r="N5" s="40" t="s">
        <v>113</v>
      </c>
      <c r="O5" s="41" t="s">
        <v>114</v>
      </c>
      <c r="P5" s="41" t="s">
        <v>115</v>
      </c>
      <c r="Q5" s="38" t="s">
        <v>192</v>
      </c>
      <c r="R5" s="40" t="s">
        <v>116</v>
      </c>
      <c r="S5" s="41" t="s">
        <v>117</v>
      </c>
      <c r="T5" s="41" t="s">
        <v>118</v>
      </c>
      <c r="U5" s="38" t="s">
        <v>193</v>
      </c>
      <c r="V5" s="40" t="s">
        <v>119</v>
      </c>
      <c r="W5" s="41" t="s">
        <v>120</v>
      </c>
      <c r="X5" s="41" t="s">
        <v>121</v>
      </c>
      <c r="Y5" s="38" t="s">
        <v>194</v>
      </c>
      <c r="Z5" s="40" t="s">
        <v>122</v>
      </c>
      <c r="AA5" s="41" t="s">
        <v>123</v>
      </c>
      <c r="AB5" s="41" t="s">
        <v>124</v>
      </c>
      <c r="AC5" s="38" t="s">
        <v>195</v>
      </c>
    </row>
    <row r="6" spans="1:29" ht="27.6" hidden="1" outlineLevel="1" x14ac:dyDescent="0.25">
      <c r="A6" s="37"/>
      <c r="B6" s="37"/>
      <c r="C6" s="42" t="s">
        <v>125</v>
      </c>
      <c r="D6" s="42" t="s">
        <v>126</v>
      </c>
      <c r="E6" s="42" t="s">
        <v>127</v>
      </c>
      <c r="F6" s="43" t="s">
        <v>158</v>
      </c>
      <c r="G6" s="42" t="s">
        <v>129</v>
      </c>
      <c r="H6" s="42" t="s">
        <v>130</v>
      </c>
    </row>
    <row r="7" spans="1:29" hidden="1" outlineLevel="1" x14ac:dyDescent="0.25">
      <c r="A7" s="37" t="s">
        <v>131</v>
      </c>
      <c r="B7" s="37"/>
      <c r="C7" s="44"/>
      <c r="D7" s="44"/>
      <c r="E7" s="44"/>
      <c r="F7" s="44"/>
      <c r="G7" s="44"/>
      <c r="H7" s="44"/>
    </row>
    <row r="8" spans="1:29" hidden="1" outlineLevel="1" x14ac:dyDescent="0.25">
      <c r="A8" s="37"/>
      <c r="B8" s="37"/>
      <c r="C8" s="44"/>
      <c r="D8" s="44"/>
      <c r="E8" s="44"/>
      <c r="F8" s="44"/>
      <c r="G8" s="44"/>
      <c r="H8" s="44"/>
    </row>
    <row r="9" spans="1:29" hidden="1" outlineLevel="1" x14ac:dyDescent="0.25">
      <c r="A9" s="45" t="s">
        <v>77</v>
      </c>
      <c r="B9" s="45"/>
      <c r="C9" s="46">
        <v>4137140.7500000005</v>
      </c>
      <c r="D9" s="46"/>
      <c r="E9" s="46">
        <v>292171</v>
      </c>
      <c r="F9" s="46">
        <v>209271</v>
      </c>
      <c r="G9" s="46">
        <v>223796.93999999997</v>
      </c>
      <c r="H9" s="46">
        <f>SUM(C9:G9)</f>
        <v>4862379.6900000004</v>
      </c>
    </row>
    <row r="10" spans="1:29" hidden="1" outlineLevel="1" x14ac:dyDescent="0.25">
      <c r="A10" s="45"/>
      <c r="B10" s="45"/>
      <c r="C10" s="46"/>
      <c r="D10" s="46"/>
      <c r="E10" s="46"/>
      <c r="F10" s="46"/>
      <c r="G10" s="46"/>
      <c r="H10" s="46"/>
    </row>
    <row r="11" spans="1:29" hidden="1" outlineLevel="1" x14ac:dyDescent="0.25">
      <c r="A11" s="45" t="s">
        <v>132</v>
      </c>
      <c r="B11" s="45"/>
      <c r="C11" s="46">
        <v>3313783.1404230767</v>
      </c>
      <c r="D11" s="46"/>
      <c r="E11" s="46"/>
      <c r="F11" s="46">
        <v>205437</v>
      </c>
      <c r="G11" s="46">
        <v>166582.27230769233</v>
      </c>
      <c r="H11" s="46">
        <f>SUM(C11:G11)</f>
        <v>3685802.4127307693</v>
      </c>
    </row>
    <row r="12" spans="1:29" hidden="1" outlineLevel="1" x14ac:dyDescent="0.25">
      <c r="A12" s="45" t="s">
        <v>133</v>
      </c>
      <c r="B12" s="45"/>
      <c r="C12" s="46"/>
      <c r="D12" s="47"/>
      <c r="E12" s="47"/>
      <c r="F12" s="47"/>
      <c r="G12" s="47"/>
      <c r="H12" s="46">
        <f>SUM(C12:G12)</f>
        <v>0</v>
      </c>
    </row>
    <row r="13" spans="1:29" hidden="1" outlineLevel="1" x14ac:dyDescent="0.25">
      <c r="A13" s="45" t="s">
        <v>134</v>
      </c>
      <c r="B13" s="45"/>
      <c r="C13" s="47"/>
      <c r="D13" s="46"/>
      <c r="E13" s="46"/>
      <c r="F13" s="46"/>
      <c r="G13" s="46"/>
      <c r="H13" s="46">
        <f>SUM(C13:G13)</f>
        <v>0</v>
      </c>
    </row>
    <row r="14" spans="1:29" hidden="1" outlineLevel="1" x14ac:dyDescent="0.25">
      <c r="A14" s="45" t="s">
        <v>135</v>
      </c>
      <c r="B14" s="45"/>
      <c r="C14" s="46">
        <v>823357.75</v>
      </c>
      <c r="D14" s="46"/>
      <c r="E14" s="46">
        <v>292171.25</v>
      </c>
      <c r="F14" s="46">
        <v>3834</v>
      </c>
      <c r="G14" s="46">
        <v>20171.079999999994</v>
      </c>
      <c r="H14" s="46">
        <f>SUM(C14:G14)</f>
        <v>1139534.08</v>
      </c>
    </row>
    <row r="15" spans="1:29" hidden="1" outlineLevel="1" x14ac:dyDescent="0.25">
      <c r="A15" s="45" t="s">
        <v>136</v>
      </c>
      <c r="B15" s="45"/>
      <c r="C15" s="46">
        <f t="shared" ref="C15:H15" si="0">SUM(C11:C14)</f>
        <v>4137140.8904230767</v>
      </c>
      <c r="D15" s="46">
        <f t="shared" si="0"/>
        <v>0</v>
      </c>
      <c r="E15" s="46">
        <f t="shared" si="0"/>
        <v>292171.25</v>
      </c>
      <c r="F15" s="46">
        <f t="shared" si="0"/>
        <v>209271</v>
      </c>
      <c r="G15" s="46">
        <f t="shared" si="0"/>
        <v>186753.35230769232</v>
      </c>
      <c r="H15" s="46">
        <f t="shared" si="0"/>
        <v>4825336.4927307693</v>
      </c>
    </row>
    <row r="16" spans="1:29" hidden="1" outlineLevel="1" x14ac:dyDescent="0.25">
      <c r="A16" s="45"/>
      <c r="B16" s="45"/>
      <c r="C16" s="46"/>
      <c r="D16" s="46"/>
      <c r="E16" s="46"/>
      <c r="F16" s="46"/>
      <c r="G16" s="46"/>
      <c r="H16" s="46"/>
    </row>
    <row r="17" spans="1:29" hidden="1" outlineLevel="1" x14ac:dyDescent="0.25">
      <c r="A17" s="45" t="s">
        <v>137</v>
      </c>
      <c r="B17" s="45"/>
      <c r="C17" s="46">
        <f t="shared" ref="C17:H17" si="1">C9-C15</f>
        <v>-0.14042307622730732</v>
      </c>
      <c r="D17" s="46">
        <f t="shared" si="1"/>
        <v>0</v>
      </c>
      <c r="E17" s="46">
        <f t="shared" si="1"/>
        <v>-0.25</v>
      </c>
      <c r="F17" s="46">
        <f t="shared" si="1"/>
        <v>0</v>
      </c>
      <c r="G17" s="46">
        <f t="shared" si="1"/>
        <v>37043.587692307658</v>
      </c>
      <c r="H17" s="46">
        <f t="shared" si="1"/>
        <v>37043.197269231081</v>
      </c>
    </row>
    <row r="18" spans="1:29" hidden="1" outlineLevel="1" collapsed="1" x14ac:dyDescent="0.25"/>
    <row r="19" spans="1:29" collapsed="1" x14ac:dyDescent="0.25"/>
    <row r="20" spans="1:29" x14ac:dyDescent="0.25">
      <c r="A20" s="48" t="s">
        <v>16</v>
      </c>
      <c r="B20" s="49"/>
      <c r="I20" s="49"/>
      <c r="J20" s="50"/>
      <c r="K20" s="51"/>
      <c r="L20" s="51"/>
      <c r="M20" s="52"/>
      <c r="N20" s="50"/>
      <c r="O20" s="51"/>
      <c r="P20" s="51"/>
      <c r="Q20" s="52"/>
      <c r="R20" s="50"/>
      <c r="S20" s="51"/>
      <c r="T20" s="51"/>
      <c r="U20" s="52"/>
      <c r="V20" s="50"/>
      <c r="W20" s="51"/>
      <c r="X20" s="51"/>
      <c r="Y20" s="52"/>
      <c r="Z20" s="50"/>
      <c r="AA20" s="51"/>
      <c r="AB20" s="51"/>
      <c r="AC20" s="52"/>
    </row>
    <row r="21" spans="1:29" x14ac:dyDescent="0.25">
      <c r="A21" s="12" t="s">
        <v>17</v>
      </c>
      <c r="B21" s="53"/>
      <c r="I21" s="53"/>
      <c r="J21" s="50">
        <v>1</v>
      </c>
      <c r="M21" s="53">
        <v>22649523</v>
      </c>
      <c r="N21" s="50">
        <v>1</v>
      </c>
      <c r="Q21" s="52">
        <f>M21*N21+O21</f>
        <v>22649523</v>
      </c>
      <c r="R21" s="50">
        <v>1</v>
      </c>
      <c r="U21" s="52">
        <f>Q21*R21+S21</f>
        <v>22649523</v>
      </c>
      <c r="V21" s="50">
        <v>1.01</v>
      </c>
      <c r="Y21" s="52">
        <f>U21*V21+W21</f>
        <v>22876018.23</v>
      </c>
      <c r="Z21" s="50">
        <v>1.01</v>
      </c>
      <c r="AC21" s="52">
        <f>Y21*Z21+AA21</f>
        <v>23104778.412300002</v>
      </c>
    </row>
    <row r="22" spans="1:29" x14ac:dyDescent="0.25">
      <c r="A22" s="150" t="s">
        <v>204</v>
      </c>
      <c r="B22" s="53"/>
      <c r="I22" s="53"/>
      <c r="J22" s="50">
        <v>1</v>
      </c>
      <c r="M22" s="53">
        <f>+M85</f>
        <v>437050.56000000006</v>
      </c>
      <c r="N22" s="50">
        <v>1</v>
      </c>
      <c r="Q22" s="52">
        <f>M22*N22+O22</f>
        <v>437050.56000000006</v>
      </c>
      <c r="R22" s="50">
        <v>1</v>
      </c>
      <c r="U22" s="52">
        <f>Q22*R22+S22</f>
        <v>437050.56000000006</v>
      </c>
      <c r="V22" s="50">
        <v>1.01</v>
      </c>
      <c r="Y22" s="52">
        <f>U22*V22+W22</f>
        <v>441421.06560000009</v>
      </c>
      <c r="Z22" s="50">
        <v>1.01</v>
      </c>
      <c r="AC22" s="52">
        <f>Y22*Z22+AA22</f>
        <v>445835.2762560001</v>
      </c>
    </row>
    <row r="23" spans="1:29" x14ac:dyDescent="0.25">
      <c r="A23" s="150" t="s">
        <v>205</v>
      </c>
      <c r="B23" s="53"/>
      <c r="I23" s="53"/>
      <c r="J23" s="50">
        <v>1</v>
      </c>
      <c r="M23" s="53">
        <f>-'20 21 Revenue - Middlesex (2)'!P138</f>
        <v>37200</v>
      </c>
      <c r="N23" s="50">
        <v>1</v>
      </c>
      <c r="Q23" s="52">
        <f>M23*N23+O23</f>
        <v>37200</v>
      </c>
      <c r="R23" s="50">
        <v>1</v>
      </c>
      <c r="U23" s="52">
        <f>Q23*R23+S23</f>
        <v>37200</v>
      </c>
      <c r="V23" s="50">
        <v>1.01</v>
      </c>
      <c r="Y23" s="52">
        <f>U23*V23+W23</f>
        <v>37572</v>
      </c>
      <c r="Z23" s="50">
        <v>1.01</v>
      </c>
      <c r="AC23" s="52">
        <f>Y23*Z23+AA23</f>
        <v>37947.72</v>
      </c>
    </row>
    <row r="24" spans="1:29" x14ac:dyDescent="0.25">
      <c r="A24" s="12" t="s">
        <v>18</v>
      </c>
      <c r="B24" s="53"/>
      <c r="I24" s="53"/>
      <c r="J24" s="50"/>
      <c r="M24" s="53"/>
      <c r="N24" s="50"/>
      <c r="R24" s="50"/>
      <c r="V24" s="50"/>
      <c r="Z24" s="50"/>
    </row>
    <row r="25" spans="1:29" x14ac:dyDescent="0.25">
      <c r="A25" s="12" t="s">
        <v>19</v>
      </c>
      <c r="B25" s="53"/>
      <c r="I25" s="53"/>
      <c r="J25" s="50"/>
      <c r="M25" s="53"/>
      <c r="N25" s="50"/>
      <c r="R25" s="50"/>
      <c r="V25" s="50"/>
      <c r="Z25" s="50"/>
    </row>
    <row r="26" spans="1:29" x14ac:dyDescent="0.25">
      <c r="A26" s="8" t="s">
        <v>20</v>
      </c>
      <c r="B26" s="11"/>
      <c r="I26" s="11"/>
      <c r="J26" s="50"/>
      <c r="M26" s="11"/>
      <c r="N26" s="50"/>
      <c r="R26" s="50"/>
      <c r="V26" s="50"/>
      <c r="Z26" s="50"/>
    </row>
    <row r="27" spans="1:29" x14ac:dyDescent="0.25">
      <c r="A27" s="8" t="s">
        <v>21</v>
      </c>
      <c r="B27" s="11"/>
      <c r="I27" s="11"/>
      <c r="J27" s="50">
        <v>1</v>
      </c>
      <c r="K27" s="51"/>
      <c r="L27" s="51"/>
      <c r="M27" s="11">
        <f>-'20 21 Revenue - Middlesex (2)'!O132</f>
        <v>356500</v>
      </c>
      <c r="N27" s="50">
        <v>1</v>
      </c>
      <c r="O27" s="51"/>
      <c r="P27" s="51"/>
      <c r="Q27" s="52">
        <f>M27*N27+O27</f>
        <v>356500</v>
      </c>
      <c r="R27" s="50">
        <v>1</v>
      </c>
      <c r="S27" s="51"/>
      <c r="T27" s="51"/>
      <c r="U27" s="52">
        <f>Q27*R27+S27</f>
        <v>356500</v>
      </c>
      <c r="V27" s="50">
        <v>1.01</v>
      </c>
      <c r="W27" s="51"/>
      <c r="X27" s="51"/>
      <c r="Y27" s="52">
        <f>U27*V27+W27</f>
        <v>360065</v>
      </c>
      <c r="Z27" s="50">
        <v>1.01</v>
      </c>
      <c r="AA27" s="51"/>
      <c r="AB27" s="51"/>
      <c r="AC27" s="52">
        <f>Y27*Z27+AA27</f>
        <v>363665.65</v>
      </c>
    </row>
    <row r="28" spans="1:29" x14ac:dyDescent="0.25">
      <c r="A28" s="8" t="s">
        <v>22</v>
      </c>
      <c r="B28" s="11"/>
      <c r="I28" s="11"/>
      <c r="J28" s="50">
        <v>1</v>
      </c>
      <c r="M28" s="11"/>
      <c r="N28" s="50">
        <v>1</v>
      </c>
      <c r="Q28" s="52">
        <f>M28*N28+O28</f>
        <v>0</v>
      </c>
      <c r="R28" s="50">
        <v>1</v>
      </c>
      <c r="U28" s="52">
        <f>Q28*R28+S28</f>
        <v>0</v>
      </c>
      <c r="V28" s="50">
        <v>1</v>
      </c>
      <c r="Y28" s="52">
        <f>U28*V28+W28</f>
        <v>0</v>
      </c>
      <c r="Z28" s="50">
        <v>1</v>
      </c>
      <c r="AC28" s="52">
        <f>Y28*Z28+AA28</f>
        <v>0</v>
      </c>
    </row>
    <row r="29" spans="1:29" x14ac:dyDescent="0.25">
      <c r="A29" s="48" t="s">
        <v>23</v>
      </c>
      <c r="B29" s="49"/>
      <c r="I29" s="49"/>
      <c r="J29" s="50"/>
      <c r="M29" s="154"/>
      <c r="N29" s="155"/>
      <c r="O29" s="156"/>
      <c r="P29" s="156"/>
      <c r="Q29" s="156"/>
      <c r="R29" s="155"/>
      <c r="S29" s="156"/>
      <c r="T29" s="156"/>
      <c r="U29" s="156"/>
      <c r="V29" s="155"/>
      <c r="W29" s="156"/>
      <c r="X29" s="156"/>
      <c r="Y29" s="156"/>
      <c r="Z29" s="155"/>
      <c r="AA29" s="156"/>
      <c r="AB29" s="156"/>
      <c r="AC29" s="156"/>
    </row>
    <row r="30" spans="1:29" x14ac:dyDescent="0.25">
      <c r="A30" s="21" t="s">
        <v>24</v>
      </c>
      <c r="B30" s="54">
        <f>SUM(B20:B29)</f>
        <v>0</v>
      </c>
      <c r="I30" s="54">
        <f>SUM(I20:I29)</f>
        <v>0</v>
      </c>
      <c r="J30" s="50" t="e">
        <f>M30/I30</f>
        <v>#DIV/0!</v>
      </c>
      <c r="K30" s="51"/>
      <c r="L30" s="51"/>
      <c r="M30" s="54">
        <f>SUM(M20:M29)</f>
        <v>23480273.559999999</v>
      </c>
      <c r="N30" s="97">
        <f>Q30/M30</f>
        <v>1</v>
      </c>
      <c r="O30" s="159"/>
      <c r="P30" s="159"/>
      <c r="Q30" s="54">
        <f>SUM(Q20:Q29)</f>
        <v>23480273.559999999</v>
      </c>
      <c r="R30" s="97">
        <f>U30/Q30</f>
        <v>1</v>
      </c>
      <c r="S30" s="159"/>
      <c r="T30" s="159"/>
      <c r="U30" s="54">
        <f>SUM(U20:U29)</f>
        <v>23480273.559999999</v>
      </c>
      <c r="V30" s="97">
        <f>Y30/U30</f>
        <v>1.01</v>
      </c>
      <c r="W30" s="159"/>
      <c r="X30" s="159"/>
      <c r="Y30" s="54">
        <f>SUM(Y20:Y29)</f>
        <v>23715076.295600001</v>
      </c>
      <c r="Z30" s="97">
        <f>AC30/Y30</f>
        <v>1.0099999999999998</v>
      </c>
      <c r="AA30" s="159"/>
      <c r="AB30" s="159"/>
      <c r="AC30" s="54">
        <f>SUM(AC20:AC29)</f>
        <v>23952227.058555998</v>
      </c>
    </row>
    <row r="31" spans="1:29" x14ac:dyDescent="0.25">
      <c r="A31" s="48"/>
      <c r="B31" s="55"/>
      <c r="I31" s="55"/>
      <c r="J31" s="50"/>
      <c r="M31" s="55"/>
      <c r="N31" s="50"/>
      <c r="R31" s="50"/>
      <c r="V31" s="50"/>
      <c r="Z31" s="50"/>
    </row>
    <row r="32" spans="1:29" x14ac:dyDescent="0.25">
      <c r="A32" s="48" t="s">
        <v>25</v>
      </c>
      <c r="B32" s="10"/>
      <c r="I32" s="10"/>
      <c r="J32" s="50">
        <v>1</v>
      </c>
      <c r="K32" s="51"/>
      <c r="L32" s="51"/>
      <c r="M32" s="10">
        <v>12000</v>
      </c>
      <c r="N32" s="50">
        <v>1</v>
      </c>
      <c r="O32" s="51"/>
      <c r="P32" s="51"/>
      <c r="Q32" s="52">
        <f>M32*N32+O32</f>
        <v>12000</v>
      </c>
      <c r="R32" s="50">
        <v>1</v>
      </c>
      <c r="S32" s="51"/>
      <c r="T32" s="51"/>
      <c r="U32" s="52">
        <f>Q32*R32+S32</f>
        <v>12000</v>
      </c>
      <c r="V32" s="50">
        <v>1</v>
      </c>
      <c r="W32" s="51"/>
      <c r="X32" s="51"/>
      <c r="Y32" s="52">
        <f>U32*V32+W32</f>
        <v>12000</v>
      </c>
      <c r="Z32" s="50">
        <v>1</v>
      </c>
      <c r="AA32" s="51"/>
      <c r="AB32" s="51"/>
      <c r="AC32" s="52">
        <f>Y32*Z32+AA32</f>
        <v>12000</v>
      </c>
    </row>
    <row r="33" spans="1:29" x14ac:dyDescent="0.25">
      <c r="A33" s="48" t="s">
        <v>26</v>
      </c>
      <c r="B33" s="49"/>
      <c r="I33" s="49"/>
      <c r="J33" s="50">
        <v>1</v>
      </c>
      <c r="K33" s="51"/>
      <c r="L33" s="51"/>
      <c r="M33" s="49">
        <f>-'20 21 Revenue - Middlesex (2)'!P160</f>
        <v>1380807</v>
      </c>
      <c r="N33" s="50">
        <v>1</v>
      </c>
      <c r="O33" s="51"/>
      <c r="P33" s="51"/>
      <c r="Q33" s="52">
        <f>M33*N33+O33</f>
        <v>1380807</v>
      </c>
      <c r="R33" s="50">
        <v>1</v>
      </c>
      <c r="S33" s="51"/>
      <c r="T33" s="51"/>
      <c r="U33" s="52">
        <f>Q33*R33+S33</f>
        <v>1380807</v>
      </c>
      <c r="V33" s="50">
        <v>1</v>
      </c>
      <c r="W33" s="51"/>
      <c r="X33" s="51"/>
      <c r="Y33" s="52">
        <f>U33*V33+W33</f>
        <v>1380807</v>
      </c>
      <c r="Z33" s="50">
        <v>1</v>
      </c>
      <c r="AA33" s="51"/>
      <c r="AB33" s="51"/>
      <c r="AC33" s="52">
        <f>Y33*Z33+AA33</f>
        <v>1380807</v>
      </c>
    </row>
    <row r="34" spans="1:29" x14ac:dyDescent="0.25">
      <c r="A34" s="48" t="s">
        <v>27</v>
      </c>
      <c r="B34" s="11"/>
      <c r="I34" s="11"/>
      <c r="J34" s="50">
        <v>1</v>
      </c>
      <c r="K34" s="51"/>
      <c r="L34" s="51"/>
      <c r="M34" s="11">
        <f>-'20 21 Revenue - Middlesex (2)'!O136</f>
        <v>1399766</v>
      </c>
      <c r="N34" s="50">
        <v>1</v>
      </c>
      <c r="O34" s="51"/>
      <c r="P34" s="51"/>
      <c r="Q34" s="52">
        <f>M34*N34+O34</f>
        <v>1399766</v>
      </c>
      <c r="R34" s="50">
        <v>1</v>
      </c>
      <c r="S34" s="51"/>
      <c r="T34" s="51"/>
      <c r="U34" s="52">
        <f>Q34*R34+S34</f>
        <v>1399766</v>
      </c>
      <c r="V34" s="50">
        <v>1</v>
      </c>
      <c r="W34" s="51"/>
      <c r="X34" s="51"/>
      <c r="Y34" s="52">
        <f>U34*V34+W34</f>
        <v>1399766</v>
      </c>
      <c r="Z34" s="50">
        <v>1</v>
      </c>
      <c r="AA34" s="51"/>
      <c r="AB34" s="51"/>
      <c r="AC34" s="52">
        <f>Y34*Z34+AA34</f>
        <v>1399766</v>
      </c>
    </row>
    <row r="35" spans="1:29" x14ac:dyDescent="0.25">
      <c r="A35" s="48" t="s">
        <v>28</v>
      </c>
      <c r="B35" s="10"/>
      <c r="I35" s="10"/>
      <c r="J35" s="50"/>
      <c r="M35" s="10"/>
      <c r="N35" s="50">
        <v>1</v>
      </c>
      <c r="Q35" s="52">
        <f>M35*N35+O35</f>
        <v>0</v>
      </c>
      <c r="R35" s="50">
        <v>1</v>
      </c>
      <c r="U35" s="52">
        <f>Q35*R35+S35</f>
        <v>0</v>
      </c>
      <c r="V35" s="50">
        <v>1</v>
      </c>
      <c r="Y35" s="52">
        <f>U35*V35+W35</f>
        <v>0</v>
      </c>
      <c r="Z35" s="50">
        <v>1</v>
      </c>
      <c r="AC35" s="52">
        <f>Y35*Z35+AA35</f>
        <v>0</v>
      </c>
    </row>
    <row r="36" spans="1:29" x14ac:dyDescent="0.25">
      <c r="A36" s="48" t="s">
        <v>29</v>
      </c>
      <c r="B36" s="49"/>
      <c r="I36" s="49"/>
      <c r="J36" s="50"/>
      <c r="M36" s="49"/>
      <c r="N36" s="50"/>
      <c r="R36" s="50"/>
      <c r="V36" s="50"/>
      <c r="Z36" s="50"/>
    </row>
    <row r="37" spans="1:29" x14ac:dyDescent="0.25">
      <c r="A37" s="48" t="s">
        <v>30</v>
      </c>
      <c r="B37" s="49"/>
      <c r="I37" s="49"/>
      <c r="J37" s="50"/>
      <c r="M37" s="49"/>
      <c r="N37" s="50"/>
      <c r="R37" s="50"/>
      <c r="V37" s="50"/>
      <c r="Z37" s="50"/>
    </row>
    <row r="38" spans="1:29" x14ac:dyDescent="0.25">
      <c r="A38" s="94" t="s">
        <v>31</v>
      </c>
      <c r="B38" s="19"/>
      <c r="I38" s="19"/>
      <c r="J38" s="50" t="e">
        <f>M38/I38</f>
        <v>#DIV/0!</v>
      </c>
      <c r="K38" s="51"/>
      <c r="L38" s="51"/>
      <c r="M38" s="19">
        <f>-'20 21 Revenue - Middlesex (2)'!O146</f>
        <v>78227</v>
      </c>
      <c r="N38" s="50">
        <v>1</v>
      </c>
      <c r="O38" s="51"/>
      <c r="P38" s="51"/>
      <c r="Q38" s="49">
        <f>M38*N38+O38</f>
        <v>78227</v>
      </c>
      <c r="R38" s="50">
        <v>1</v>
      </c>
      <c r="S38" s="51"/>
      <c r="T38" s="51"/>
      <c r="U38" s="49">
        <f>Q38*R38+S38</f>
        <v>78227</v>
      </c>
      <c r="V38" s="50">
        <v>1</v>
      </c>
      <c r="W38" s="51"/>
      <c r="X38" s="51"/>
      <c r="Y38" s="49">
        <f>U38*V38+W38</f>
        <v>78227</v>
      </c>
      <c r="Z38" s="50">
        <v>1</v>
      </c>
      <c r="AA38" s="51"/>
      <c r="AB38" s="51"/>
      <c r="AC38" s="52">
        <f>Y38*Z38+AA38</f>
        <v>78227</v>
      </c>
    </row>
    <row r="39" spans="1:29" x14ac:dyDescent="0.25">
      <c r="A39" s="48"/>
      <c r="B39" s="55"/>
      <c r="I39" s="55"/>
      <c r="J39" s="50"/>
      <c r="M39" s="55"/>
      <c r="N39" s="50"/>
      <c r="R39" s="50"/>
      <c r="V39" s="50"/>
      <c r="Z39" s="50"/>
    </row>
    <row r="40" spans="1:29" x14ac:dyDescent="0.25">
      <c r="A40" s="48" t="s">
        <v>32</v>
      </c>
      <c r="B40" s="55"/>
      <c r="C40" s="49"/>
      <c r="I40" s="55"/>
      <c r="J40" s="50"/>
      <c r="M40" s="55"/>
      <c r="N40" s="50"/>
      <c r="R40" s="50"/>
      <c r="V40" s="50"/>
      <c r="Z40" s="50"/>
    </row>
    <row r="41" spans="1:29" ht="14.4" thickBot="1" x14ac:dyDescent="0.3">
      <c r="A41" s="14" t="s">
        <v>33</v>
      </c>
      <c r="B41" s="56">
        <f>SUM(B30:B40)</f>
        <v>0</v>
      </c>
      <c r="I41" s="56">
        <f>SUM(I30:I40)</f>
        <v>0</v>
      </c>
      <c r="J41" s="50" t="e">
        <f>M41/I41</f>
        <v>#DIV/0!</v>
      </c>
      <c r="K41" s="51"/>
      <c r="L41" s="51"/>
      <c r="M41" s="262">
        <f>SUM(M30:M40)</f>
        <v>26351073.559999999</v>
      </c>
      <c r="N41" s="157">
        <f>Q41/M41</f>
        <v>1</v>
      </c>
      <c r="O41" s="158"/>
      <c r="P41" s="158"/>
      <c r="Q41" s="56">
        <f>SUM(Q30:Q40)</f>
        <v>26351073.559999999</v>
      </c>
      <c r="R41" s="157">
        <f>U41/Q41</f>
        <v>1</v>
      </c>
      <c r="S41" s="158"/>
      <c r="T41" s="158"/>
      <c r="U41" s="56">
        <f>SUM(U30:U40)</f>
        <v>26351073.559999999</v>
      </c>
      <c r="V41" s="157">
        <f>Y41/U41</f>
        <v>1.0089105567204071</v>
      </c>
      <c r="W41" s="158"/>
      <c r="X41" s="158"/>
      <c r="Y41" s="56">
        <f>SUM(Y30:Y40)</f>
        <v>26585876.295600001</v>
      </c>
      <c r="Z41" s="157">
        <f>AC41/Y41</f>
        <v>1.0089201785308557</v>
      </c>
      <c r="AA41" s="158"/>
      <c r="AB41" s="158"/>
      <c r="AC41" s="56">
        <f>SUM(AC30:AC40)</f>
        <v>26823027.058555998</v>
      </c>
    </row>
    <row r="42" spans="1:29" ht="14.4" hidden="1" thickTop="1" x14ac:dyDescent="0.25">
      <c r="A42" s="48"/>
      <c r="B42" s="55"/>
      <c r="I42" s="55"/>
      <c r="J42" s="50"/>
      <c r="M42" s="55">
        <f>18880454-M41</f>
        <v>-7470619.5599999987</v>
      </c>
      <c r="N42" s="50"/>
      <c r="Q42" s="11">
        <f>27098467-Q41</f>
        <v>747393.44000000134</v>
      </c>
      <c r="R42" s="50"/>
      <c r="U42" s="11">
        <f>27098467-U41</f>
        <v>747393.44000000134</v>
      </c>
      <c r="V42" s="50"/>
      <c r="Y42" s="11">
        <f>27098467-Y41</f>
        <v>512590.70439999923</v>
      </c>
      <c r="Z42" s="50"/>
      <c r="AC42" s="11">
        <f>27098467-AC41</f>
        <v>275439.94144400209</v>
      </c>
    </row>
    <row r="43" spans="1:29" ht="14.4" thickTop="1" x14ac:dyDescent="0.25">
      <c r="A43" s="48"/>
      <c r="B43" s="55"/>
      <c r="I43" s="55"/>
      <c r="J43" s="50"/>
      <c r="M43" s="55"/>
      <c r="N43" s="50"/>
      <c r="R43" s="50"/>
      <c r="V43" s="50"/>
      <c r="Z43" s="50"/>
    </row>
    <row r="44" spans="1:29" x14ac:dyDescent="0.25">
      <c r="A44" s="6" t="s">
        <v>34</v>
      </c>
      <c r="B44" s="57"/>
      <c r="I44" s="57"/>
      <c r="J44" s="50"/>
      <c r="M44" s="57"/>
      <c r="N44" s="50"/>
      <c r="R44" s="50"/>
      <c r="V44" s="50"/>
      <c r="Z44" s="50"/>
    </row>
    <row r="45" spans="1:29" x14ac:dyDescent="0.25">
      <c r="A45" s="48" t="s">
        <v>35</v>
      </c>
      <c r="B45" s="10"/>
      <c r="I45" s="10"/>
      <c r="J45" s="50"/>
      <c r="M45" s="10"/>
      <c r="N45" s="260"/>
      <c r="Q45" s="11"/>
      <c r="R45" s="50"/>
      <c r="V45" s="50"/>
      <c r="Z45" s="50"/>
    </row>
    <row r="46" spans="1:29" x14ac:dyDescent="0.25">
      <c r="A46" s="48" t="s">
        <v>36</v>
      </c>
      <c r="B46" s="10"/>
      <c r="I46" s="10"/>
      <c r="J46" s="50">
        <v>1.01</v>
      </c>
      <c r="M46" s="10">
        <f>+'[2]Detailed Support - Middlesex'!$M$46</f>
        <v>2716878.6885245903</v>
      </c>
      <c r="N46" s="260">
        <v>0.99</v>
      </c>
      <c r="Q46" s="52">
        <f>M46*N46+O46</f>
        <v>2689709.9016393446</v>
      </c>
      <c r="R46" s="50">
        <v>1</v>
      </c>
      <c r="U46" s="52">
        <f>Q46*R46+S46</f>
        <v>2689709.9016393446</v>
      </c>
      <c r="V46" s="50">
        <v>1</v>
      </c>
      <c r="Y46" s="52">
        <f>U46*V46+W46</f>
        <v>2689709.9016393446</v>
      </c>
      <c r="Z46" s="50">
        <v>1</v>
      </c>
      <c r="AC46" s="52">
        <f>Y46*Z46+AA46</f>
        <v>2689709.9016393446</v>
      </c>
    </row>
    <row r="47" spans="1:29" x14ac:dyDescent="0.25">
      <c r="A47" s="48" t="s">
        <v>37</v>
      </c>
      <c r="B47" s="10"/>
      <c r="I47" s="10"/>
      <c r="J47" s="50">
        <v>1.01</v>
      </c>
      <c r="M47" s="10">
        <f>+'[2]Detailed Support - Middlesex'!$M$47</f>
        <v>16468551.311475409</v>
      </c>
      <c r="N47" s="260">
        <v>0.99</v>
      </c>
      <c r="Q47" s="52">
        <f>M47*N47+O47+M48</f>
        <v>16453865.798360655</v>
      </c>
      <c r="R47" s="50">
        <v>1</v>
      </c>
      <c r="U47" s="52">
        <f>Q47*R47+S47+M48+Q48</f>
        <v>16753865.798360655</v>
      </c>
      <c r="V47" s="50">
        <v>1</v>
      </c>
      <c r="Y47" s="52">
        <f>U47*V47+W47+M48+Q48+U48</f>
        <v>17203865.798360653</v>
      </c>
      <c r="Z47" s="50">
        <v>1</v>
      </c>
      <c r="AC47" s="52">
        <f>Y47*Z47+AA47+M48+Q48+U48</f>
        <v>17653865.798360653</v>
      </c>
    </row>
    <row r="48" spans="1:29" x14ac:dyDescent="0.25">
      <c r="A48" s="186" t="s">
        <v>2647</v>
      </c>
      <c r="B48" s="49"/>
      <c r="I48" s="49"/>
      <c r="J48" s="50"/>
      <c r="M48" s="263">
        <v>150000</v>
      </c>
      <c r="N48" s="260"/>
      <c r="Q48" s="60">
        <v>150000</v>
      </c>
      <c r="R48" s="50"/>
      <c r="U48" s="60">
        <v>150000</v>
      </c>
      <c r="V48" s="50"/>
      <c r="Z48" s="50"/>
    </row>
    <row r="49" spans="1:29" x14ac:dyDescent="0.25">
      <c r="A49" s="186" t="s">
        <v>2648</v>
      </c>
      <c r="B49" s="49"/>
      <c r="I49" s="49"/>
      <c r="J49" s="50"/>
      <c r="M49" s="263">
        <v>0</v>
      </c>
      <c r="N49" s="50"/>
      <c r="Q49" s="261">
        <v>0</v>
      </c>
      <c r="R49" s="261"/>
      <c r="S49" s="261"/>
      <c r="T49" s="261"/>
      <c r="U49" s="261">
        <v>0</v>
      </c>
      <c r="V49" s="50"/>
      <c r="Z49" s="50"/>
    </row>
    <row r="50" spans="1:29" x14ac:dyDescent="0.25">
      <c r="A50" s="21" t="s">
        <v>39</v>
      </c>
      <c r="B50" s="54">
        <f>SUM(B46:B48)</f>
        <v>0</v>
      </c>
      <c r="I50" s="54">
        <f>SUM(I46:I48)</f>
        <v>0</v>
      </c>
      <c r="J50" s="50" t="e">
        <f>M50/I50</f>
        <v>#DIV/0!</v>
      </c>
      <c r="K50" s="55">
        <f>SUM(K46:K48)</f>
        <v>0</v>
      </c>
      <c r="L50" s="55"/>
      <c r="M50" s="54">
        <f>SUM(M46:M49)</f>
        <v>19335430</v>
      </c>
      <c r="N50" s="97">
        <f>Q50/M50</f>
        <v>0.99783535716557636</v>
      </c>
      <c r="O50" s="54">
        <f>SUM(O46:O48)</f>
        <v>0</v>
      </c>
      <c r="P50" s="54"/>
      <c r="Q50" s="54">
        <f>SUM(Q46:Q49)</f>
        <v>19293575.699999999</v>
      </c>
      <c r="R50" s="97">
        <f>U50/Q50</f>
        <v>1.0155492172454068</v>
      </c>
      <c r="S50" s="54">
        <f>SUM(S46:S48)</f>
        <v>0</v>
      </c>
      <c r="T50" s="54" t="s">
        <v>229</v>
      </c>
      <c r="U50" s="54">
        <f>SUM(U46:U49)</f>
        <v>19593575.699999999</v>
      </c>
      <c r="V50" s="97">
        <f>Y50/U50</f>
        <v>1.0153111409879108</v>
      </c>
      <c r="W50" s="54">
        <f>SUM(W46:W48)</f>
        <v>0</v>
      </c>
      <c r="X50" s="54"/>
      <c r="Y50" s="54">
        <f>SUM(Y46:Y48)</f>
        <v>19893575.699999999</v>
      </c>
      <c r="Z50" s="97">
        <f>AC50/Y50</f>
        <v>1.0226203678406591</v>
      </c>
      <c r="AA50" s="54">
        <f>SUM(AA46:AA48)</f>
        <v>0</v>
      </c>
      <c r="AB50" s="54"/>
      <c r="AC50" s="54">
        <f>SUM(AC46:AC48)</f>
        <v>20343575.699999999</v>
      </c>
    </row>
    <row r="51" spans="1:29" x14ac:dyDescent="0.25">
      <c r="A51" s="9"/>
      <c r="B51" s="55"/>
      <c r="I51" s="55"/>
      <c r="J51" s="50"/>
      <c r="K51" s="55"/>
      <c r="L51" s="55"/>
      <c r="M51" s="55"/>
      <c r="N51" s="50"/>
      <c r="O51" s="55"/>
      <c r="P51" s="55"/>
      <c r="Q51" s="55"/>
      <c r="R51" s="50"/>
      <c r="S51" s="55"/>
      <c r="T51" s="55"/>
      <c r="U51" s="55"/>
      <c r="V51" s="50"/>
      <c r="W51" s="55"/>
      <c r="X51" s="55"/>
      <c r="Y51" s="55"/>
      <c r="Z51" s="50"/>
      <c r="AA51" s="55"/>
      <c r="AB51" s="55"/>
      <c r="AC51" s="55"/>
    </row>
    <row r="52" spans="1:29" x14ac:dyDescent="0.25">
      <c r="A52" s="48" t="s">
        <v>40</v>
      </c>
      <c r="B52" s="10"/>
      <c r="C52" s="58" t="e">
        <f>B52/B53</f>
        <v>#DIV/0!</v>
      </c>
      <c r="D52" s="8" t="s">
        <v>159</v>
      </c>
      <c r="I52" s="10"/>
      <c r="J52" s="50">
        <v>1.02</v>
      </c>
      <c r="M52" s="187">
        <f>+'CMHA-M 20-21 Bud'!J453</f>
        <v>1250500</v>
      </c>
      <c r="N52" s="50">
        <v>1.02</v>
      </c>
      <c r="Q52" s="52">
        <f>M52*N52+O52</f>
        <v>1275510</v>
      </c>
      <c r="R52" s="50">
        <v>1.02</v>
      </c>
      <c r="U52" s="52">
        <f>Q52*R52+S52</f>
        <v>1301020.2</v>
      </c>
      <c r="V52" s="50">
        <v>1.02</v>
      </c>
      <c r="X52" s="52">
        <f>+U52-Q52</f>
        <v>25510.199999999953</v>
      </c>
      <c r="Y52" s="52">
        <f>U52*V52+W52</f>
        <v>1327040.6040000001</v>
      </c>
      <c r="Z52" s="50">
        <v>1.02</v>
      </c>
      <c r="AC52" s="52">
        <f>Y52*Z52+AA52</f>
        <v>1353581.4160800001</v>
      </c>
    </row>
    <row r="53" spans="1:29" x14ac:dyDescent="0.25">
      <c r="A53" s="21" t="s">
        <v>41</v>
      </c>
      <c r="B53" s="54">
        <f>SUM(B50:B52)</f>
        <v>0</v>
      </c>
      <c r="I53" s="54">
        <f>SUM(I50:I52)</f>
        <v>0</v>
      </c>
      <c r="J53" s="50" t="e">
        <f>M53/I53</f>
        <v>#DIV/0!</v>
      </c>
      <c r="K53" s="54">
        <f>SUM(K50:K52)</f>
        <v>0</v>
      </c>
      <c r="L53" s="54"/>
      <c r="M53" s="54">
        <f>SUM(M50:M52)</f>
        <v>20585930</v>
      </c>
      <c r="N53" s="97">
        <f>Q53/M53</f>
        <v>0.99918175666583919</v>
      </c>
      <c r="O53" s="54">
        <f>SUM(O50:O52)</f>
        <v>0</v>
      </c>
      <c r="P53" s="54"/>
      <c r="Q53" s="54">
        <f>SUM(Q50:Q52)</f>
        <v>20569085.699999999</v>
      </c>
      <c r="R53" s="97">
        <f>U53/Q53</f>
        <v>1.0158252148271227</v>
      </c>
      <c r="S53" s="54">
        <f>SUM(S50:S52)</f>
        <v>0</v>
      </c>
      <c r="T53" s="54"/>
      <c r="U53" s="54">
        <f>SUM(U50:U52)</f>
        <v>20894595.899999999</v>
      </c>
      <c r="V53" s="97">
        <f>Y53/U53</f>
        <v>1.0156030968753982</v>
      </c>
      <c r="W53" s="54">
        <f>SUM(W50:W52)</f>
        <v>0</v>
      </c>
      <c r="X53" s="54"/>
      <c r="Y53" s="54">
        <f>SUM(Y50:Y52)</f>
        <v>21220616.303999998</v>
      </c>
      <c r="Z53" s="97">
        <f>AC53/Y53</f>
        <v>1.022456501981527</v>
      </c>
      <c r="AA53" s="54">
        <f>SUM(AA50:AA52)</f>
        <v>0</v>
      </c>
      <c r="AB53" s="54"/>
      <c r="AC53" s="54">
        <f>SUM(AC50:AC52)</f>
        <v>21697157.116080001</v>
      </c>
    </row>
    <row r="54" spans="1:29" hidden="1" x14ac:dyDescent="0.25">
      <c r="A54" s="48"/>
      <c r="B54" s="55"/>
      <c r="I54" s="55"/>
      <c r="M54" s="55">
        <f>16475722-M53</f>
        <v>-4110208</v>
      </c>
      <c r="Q54" s="11">
        <f>19076431-Q53</f>
        <v>-1492654.6999999993</v>
      </c>
      <c r="U54" s="11">
        <f>19076431-U53</f>
        <v>-1818164.8999999985</v>
      </c>
      <c r="Y54" s="11">
        <f>19076431-Y53</f>
        <v>-2144185.3039999977</v>
      </c>
      <c r="AC54" s="11">
        <f>19076431-AC53</f>
        <v>-2620726.116080001</v>
      </c>
    </row>
    <row r="55" spans="1:29" x14ac:dyDescent="0.25">
      <c r="A55" s="48"/>
      <c r="B55" s="55"/>
      <c r="I55" s="55"/>
      <c r="M55" s="55"/>
      <c r="Q55" s="11"/>
      <c r="U55" s="11"/>
      <c r="Y55" s="11"/>
      <c r="AC55" s="11"/>
    </row>
    <row r="56" spans="1:29" x14ac:dyDescent="0.25">
      <c r="A56" s="48" t="s">
        <v>42</v>
      </c>
      <c r="B56" s="55"/>
      <c r="I56" s="55"/>
      <c r="M56" s="55"/>
    </row>
    <row r="57" spans="1:29" x14ac:dyDescent="0.25">
      <c r="A57" s="48" t="s">
        <v>43</v>
      </c>
      <c r="B57" s="49"/>
      <c r="I57" s="49"/>
      <c r="J57" s="50">
        <v>1.02</v>
      </c>
      <c r="M57" s="49">
        <f>+'CMHA-M 20-21 Bud'!K727</f>
        <v>201115.10400000002</v>
      </c>
      <c r="N57" s="50">
        <f>328032/321600</f>
        <v>1.02</v>
      </c>
      <c r="Q57" s="52">
        <f>M57*N57+O57</f>
        <v>205137.40608000002</v>
      </c>
      <c r="R57" s="50">
        <f>334593/328032</f>
        <v>1.0200010974539069</v>
      </c>
      <c r="U57" s="52">
        <f>Q57*R57+S57</f>
        <v>209240.37933044776</v>
      </c>
      <c r="V57" s="50">
        <v>1.02</v>
      </c>
      <c r="Y57" s="52">
        <f>U57*V57+W57</f>
        <v>213425.18691705671</v>
      </c>
      <c r="Z57" s="50">
        <v>1.02</v>
      </c>
      <c r="AC57" s="52">
        <f>Y57*Z57+AA57</f>
        <v>217693.69065539783</v>
      </c>
    </row>
    <row r="58" spans="1:29" x14ac:dyDescent="0.25">
      <c r="A58" s="48" t="s">
        <v>44</v>
      </c>
      <c r="B58" s="49"/>
      <c r="H58" s="8">
        <v>15</v>
      </c>
      <c r="I58" s="49"/>
      <c r="J58" s="50">
        <v>1.02</v>
      </c>
      <c r="M58" s="49">
        <f>+'CMHA-M 20-21 Bud'!K628+'CMHA-M 20-21 Bud'!K665</f>
        <v>208634.92800000001</v>
      </c>
      <c r="N58" s="50">
        <f>170313/166974</f>
        <v>1.019997125300945</v>
      </c>
      <c r="Q58" s="52">
        <f>M58*N58+O58</f>
        <v>212807.02679736965</v>
      </c>
      <c r="R58" s="50">
        <f>334593/328032</f>
        <v>1.0200010974539069</v>
      </c>
      <c r="U58" s="52">
        <f>Q58*R58+S58</f>
        <v>217063.40087922002</v>
      </c>
      <c r="V58" s="50">
        <v>1.02</v>
      </c>
      <c r="Y58" s="52">
        <f>U58*V58+W58</f>
        <v>221404.66889680442</v>
      </c>
      <c r="Z58" s="50">
        <v>1.02</v>
      </c>
      <c r="AC58" s="52">
        <f>Y58*Z58+AA58</f>
        <v>225832.7622747405</v>
      </c>
    </row>
    <row r="59" spans="1:29" x14ac:dyDescent="0.25">
      <c r="A59" s="21" t="s">
        <v>45</v>
      </c>
      <c r="B59" s="54">
        <f>SUM(B57:B58)</f>
        <v>0</v>
      </c>
      <c r="I59" s="54">
        <f>SUM(I57:I58)</f>
        <v>0</v>
      </c>
      <c r="J59" s="50" t="e">
        <f>M59/I59</f>
        <v>#DIV/0!</v>
      </c>
      <c r="K59" s="54">
        <f>SUM(K57:K58)</f>
        <v>0</v>
      </c>
      <c r="L59" s="54"/>
      <c r="M59" s="54">
        <f>SUM(M57:M58)</f>
        <v>409750.03200000001</v>
      </c>
      <c r="N59" s="97">
        <f>Q59/M59</f>
        <v>1.0199985362719135</v>
      </c>
      <c r="O59" s="54">
        <f>SUM(O57:O58)</f>
        <v>0</v>
      </c>
      <c r="P59" s="54"/>
      <c r="Q59" s="54">
        <f>SUM(Q57:Q58)</f>
        <v>417944.43287736969</v>
      </c>
      <c r="R59" s="97">
        <f>U59/Q59</f>
        <v>1.0200010974539067</v>
      </c>
      <c r="S59" s="54">
        <f>SUM(S57:S58)</f>
        <v>0</v>
      </c>
      <c r="T59" s="54"/>
      <c r="U59" s="54">
        <f>SUM(U57:U58)</f>
        <v>426303.78020966775</v>
      </c>
      <c r="V59" s="97">
        <f>Y59/U59</f>
        <v>1.02</v>
      </c>
      <c r="W59" s="54">
        <f>SUM(W57:W58)</f>
        <v>0</v>
      </c>
      <c r="X59" s="54"/>
      <c r="Y59" s="54">
        <f>SUM(Y57:Y58)</f>
        <v>434829.85581386113</v>
      </c>
      <c r="Z59" s="97">
        <f>AC59/Y59</f>
        <v>1.02</v>
      </c>
      <c r="AA59" s="54">
        <f>SUM(AA57:AA58)</f>
        <v>0</v>
      </c>
      <c r="AB59" s="54"/>
      <c r="AC59" s="54">
        <f>SUM(AC57:AC58)</f>
        <v>443526.45293013833</v>
      </c>
    </row>
    <row r="60" spans="1:29" x14ac:dyDescent="0.25">
      <c r="A60" s="48"/>
      <c r="B60" s="55"/>
      <c r="I60" s="55"/>
      <c r="M60" s="55"/>
      <c r="Q60" s="153"/>
      <c r="U60" s="153">
        <f>508312.3896-U59</f>
        <v>82008.609390332247</v>
      </c>
      <c r="Y60" s="153">
        <f>518478.637392-Y59</f>
        <v>83648.781578138878</v>
      </c>
      <c r="AC60" s="153">
        <f>528848.21013984-AC59</f>
        <v>85321.757209701696</v>
      </c>
    </row>
    <row r="61" spans="1:29" x14ac:dyDescent="0.25">
      <c r="A61" s="9" t="s">
        <v>46</v>
      </c>
      <c r="B61" s="55"/>
      <c r="I61" s="55"/>
      <c r="M61" s="55"/>
    </row>
    <row r="62" spans="1:29" x14ac:dyDescent="0.25">
      <c r="A62" s="48" t="s">
        <v>47</v>
      </c>
      <c r="B62" s="49"/>
      <c r="I62" s="49"/>
      <c r="J62" s="50">
        <v>1.02</v>
      </c>
      <c r="M62" s="49">
        <f>+'CMHA-M 20-21 Bud'!K802+'CMHA-M 20-21 Bud'!K843+'CMHA-M 20-21 Bud'!K846</f>
        <v>2357923.8480000002</v>
      </c>
      <c r="N62" s="50">
        <v>1.02</v>
      </c>
      <c r="Q62" s="52">
        <f t="shared" ref="Q62:Q67" si="2">M62*N62+O62</f>
        <v>2405082.3249600003</v>
      </c>
      <c r="R62" s="50">
        <v>1.02</v>
      </c>
      <c r="U62" s="52">
        <f t="shared" ref="U62:U67" si="3">Q62*R62+S62</f>
        <v>2453183.9714592006</v>
      </c>
      <c r="V62" s="50">
        <v>1.02</v>
      </c>
      <c r="Y62" s="52">
        <f t="shared" ref="Y62:Y67" si="4">U62*V62+W62</f>
        <v>2502247.6508883848</v>
      </c>
      <c r="Z62" s="50">
        <v>1.02</v>
      </c>
      <c r="AC62" s="52">
        <f t="shared" ref="AC62:AC67" si="5">Y62*Z62+AA62</f>
        <v>2552292.6039061523</v>
      </c>
    </row>
    <row r="63" spans="1:29" x14ac:dyDescent="0.25">
      <c r="A63" s="48" t="s">
        <v>48</v>
      </c>
      <c r="B63" s="49"/>
      <c r="H63" s="8">
        <v>10</v>
      </c>
      <c r="I63" s="49"/>
      <c r="J63" s="50">
        <v>1.02</v>
      </c>
      <c r="M63" s="49">
        <f>+'CMHA-M 20-21 Bud'!K968</f>
        <v>327501.70799999993</v>
      </c>
      <c r="N63" s="50">
        <v>1.02</v>
      </c>
      <c r="Q63" s="52">
        <f t="shared" si="2"/>
        <v>334051.74215999991</v>
      </c>
      <c r="R63" s="50">
        <v>1.02</v>
      </c>
      <c r="U63" s="52">
        <f t="shared" si="3"/>
        <v>340732.77700319991</v>
      </c>
      <c r="V63" s="50">
        <v>1.02</v>
      </c>
      <c r="Y63" s="52">
        <f t="shared" si="4"/>
        <v>347547.43254326389</v>
      </c>
      <c r="Z63" s="50">
        <v>1.02</v>
      </c>
      <c r="AC63" s="52">
        <f t="shared" si="5"/>
        <v>354498.38119412918</v>
      </c>
    </row>
    <row r="64" spans="1:29" x14ac:dyDescent="0.25">
      <c r="A64" s="48" t="s">
        <v>49</v>
      </c>
      <c r="B64" s="49"/>
      <c r="H64" s="8">
        <v>11</v>
      </c>
      <c r="I64" s="49"/>
      <c r="J64" s="50">
        <v>1.02</v>
      </c>
      <c r="M64" s="49">
        <f>+'CMHA-M 20-21 Bud'!K480+'CMHA-M 20-21 Bud'!K688+'CMHA-M 20-21 Bud'!K689+'CMHA-M 20-21 Bud'!K769</f>
        <v>248368.20799999998</v>
      </c>
      <c r="N64" s="50">
        <v>1.02</v>
      </c>
      <c r="Q64" s="52">
        <f t="shared" si="2"/>
        <v>253335.57215999998</v>
      </c>
      <c r="R64" s="50">
        <v>1.02</v>
      </c>
      <c r="U64" s="52">
        <f t="shared" si="3"/>
        <v>258402.28360319999</v>
      </c>
      <c r="V64" s="50">
        <v>1.02</v>
      </c>
      <c r="Y64" s="52">
        <f t="shared" si="4"/>
        <v>263570.329275264</v>
      </c>
      <c r="Z64" s="50">
        <v>1.02</v>
      </c>
      <c r="AC64" s="52">
        <f t="shared" si="5"/>
        <v>268841.73586076929</v>
      </c>
    </row>
    <row r="65" spans="1:29" x14ac:dyDescent="0.25">
      <c r="A65" s="48" t="s">
        <v>50</v>
      </c>
      <c r="B65" s="49"/>
      <c r="H65" s="8">
        <v>12</v>
      </c>
      <c r="I65" s="49"/>
      <c r="J65" s="50">
        <v>1.02</v>
      </c>
      <c r="M65" s="49">
        <v>0</v>
      </c>
      <c r="N65" s="50">
        <v>1.02</v>
      </c>
      <c r="Q65" s="52">
        <f t="shared" si="2"/>
        <v>0</v>
      </c>
      <c r="R65" s="50">
        <v>1.02</v>
      </c>
      <c r="U65" s="52">
        <f t="shared" si="3"/>
        <v>0</v>
      </c>
      <c r="V65" s="50">
        <v>1.02</v>
      </c>
      <c r="Y65" s="52">
        <f t="shared" si="4"/>
        <v>0</v>
      </c>
      <c r="Z65" s="50">
        <v>1.02</v>
      </c>
      <c r="AC65" s="52">
        <f t="shared" si="5"/>
        <v>0</v>
      </c>
    </row>
    <row r="66" spans="1:29" x14ac:dyDescent="0.25">
      <c r="A66" s="48" t="s">
        <v>51</v>
      </c>
      <c r="B66" s="49"/>
      <c r="H66" s="59" t="s">
        <v>138</v>
      </c>
      <c r="I66" s="49"/>
      <c r="J66" s="50">
        <v>1.02</v>
      </c>
      <c r="M66" s="49">
        <f>+'CMHA-M 20-21 Bud'!K1010</f>
        <v>249897.58800000005</v>
      </c>
      <c r="N66" s="50">
        <v>1.02</v>
      </c>
      <c r="Q66" s="52">
        <f t="shared" si="2"/>
        <v>254895.53976000004</v>
      </c>
      <c r="R66" s="50">
        <v>1.02</v>
      </c>
      <c r="U66" s="52">
        <f t="shared" si="3"/>
        <v>259993.45055520005</v>
      </c>
      <c r="V66" s="50">
        <v>1.02</v>
      </c>
      <c r="Y66" s="52">
        <f t="shared" si="4"/>
        <v>265193.31956630404</v>
      </c>
      <c r="Z66" s="50">
        <v>1.02</v>
      </c>
      <c r="AC66" s="52">
        <f t="shared" si="5"/>
        <v>270497.18595763011</v>
      </c>
    </row>
    <row r="67" spans="1:29" x14ac:dyDescent="0.25">
      <c r="A67" s="48" t="s">
        <v>52</v>
      </c>
      <c r="B67" s="49"/>
      <c r="I67" s="49"/>
      <c r="J67" s="50">
        <v>1.02</v>
      </c>
      <c r="M67" s="49">
        <f>+'CMHA-M 20-21 Bud'!K1051+'CMHA-M 20-21 Bud'!K757</f>
        <v>361436.91599999997</v>
      </c>
      <c r="N67" s="50">
        <v>1.02</v>
      </c>
      <c r="Q67" s="52">
        <f t="shared" si="2"/>
        <v>368665.65431999997</v>
      </c>
      <c r="R67" s="50">
        <v>1.02</v>
      </c>
      <c r="U67" s="52">
        <f t="shared" si="3"/>
        <v>376038.96740639996</v>
      </c>
      <c r="V67" s="50">
        <v>1.02</v>
      </c>
      <c r="Y67" s="52">
        <f t="shared" si="4"/>
        <v>383559.74675452797</v>
      </c>
      <c r="Z67" s="50">
        <v>1.02</v>
      </c>
      <c r="AC67" s="52">
        <f t="shared" si="5"/>
        <v>391230.94168961851</v>
      </c>
    </row>
    <row r="68" spans="1:29" x14ac:dyDescent="0.25">
      <c r="A68" s="48" t="s">
        <v>53</v>
      </c>
    </row>
    <row r="69" spans="1:29" x14ac:dyDescent="0.25">
      <c r="A69" s="60" t="s">
        <v>54</v>
      </c>
      <c r="B69" s="49"/>
      <c r="I69" s="49"/>
      <c r="M69" s="49">
        <f>+'CMHA-M 20-21 Bud'!K1073</f>
        <v>105129.66000000002</v>
      </c>
      <c r="N69" s="50">
        <v>1.02</v>
      </c>
      <c r="Q69" s="52">
        <f>M69*N69+O69</f>
        <v>107232.25320000002</v>
      </c>
      <c r="R69" s="50">
        <v>1.02</v>
      </c>
      <c r="U69" s="52">
        <f>Q69*R69+S69</f>
        <v>109376.89826400002</v>
      </c>
      <c r="V69" s="50">
        <v>1.02</v>
      </c>
      <c r="Y69" s="52">
        <f>U69*V69+W69</f>
        <v>111564.43622928002</v>
      </c>
      <c r="Z69" s="50">
        <v>1.02</v>
      </c>
      <c r="AC69" s="52">
        <f>Y69*Z69+AA69</f>
        <v>113795.72495386562</v>
      </c>
    </row>
    <row r="70" spans="1:29" x14ac:dyDescent="0.25">
      <c r="A70" s="60" t="s">
        <v>55</v>
      </c>
      <c r="B70" s="11"/>
      <c r="H70" s="8">
        <v>14</v>
      </c>
      <c r="I70" s="11"/>
      <c r="J70" s="50">
        <v>1.02</v>
      </c>
      <c r="M70" s="49">
        <f>+'CMHA-M 20-21 Bud'!K777</f>
        <v>179509.84799999997</v>
      </c>
      <c r="N70" s="50">
        <v>1.02</v>
      </c>
      <c r="Q70" s="52">
        <f>M70*N70+O70</f>
        <v>183100.04495999997</v>
      </c>
      <c r="R70" s="50">
        <v>1.02</v>
      </c>
      <c r="U70" s="52">
        <f>Q70*R70+S70</f>
        <v>186762.04585919998</v>
      </c>
      <c r="V70" s="50">
        <v>1.02</v>
      </c>
      <c r="Y70" s="52">
        <f>U70*V70+W70</f>
        <v>190497.28677638399</v>
      </c>
      <c r="Z70" s="50">
        <v>1.02</v>
      </c>
      <c r="AC70" s="52">
        <f>Y70*Z70+AA70</f>
        <v>194307.23251191169</v>
      </c>
    </row>
    <row r="71" spans="1:29" x14ac:dyDescent="0.25">
      <c r="A71" s="48" t="s">
        <v>56</v>
      </c>
      <c r="B71" s="11"/>
      <c r="I71" s="11"/>
      <c r="J71" s="50">
        <v>1.02</v>
      </c>
      <c r="M71" s="49"/>
      <c r="N71" s="50">
        <v>1.02</v>
      </c>
      <c r="Q71" s="52">
        <f>M71*N71+O71</f>
        <v>0</v>
      </c>
      <c r="R71" s="50">
        <v>1.02</v>
      </c>
      <c r="U71" s="52">
        <f>Q71*R71+S71</f>
        <v>0</v>
      </c>
      <c r="V71" s="50">
        <v>1.02</v>
      </c>
      <c r="Y71" s="52">
        <f>U71*V71+W71</f>
        <v>0</v>
      </c>
      <c r="Z71" s="50">
        <v>1.02</v>
      </c>
      <c r="AC71" s="52">
        <f>Y71*Z71+AA71</f>
        <v>0</v>
      </c>
    </row>
    <row r="72" spans="1:29" x14ac:dyDescent="0.25">
      <c r="A72" s="21" t="s">
        <v>57</v>
      </c>
      <c r="B72" s="54">
        <f>SUM(B62:B71)</f>
        <v>0</v>
      </c>
      <c r="I72" s="54">
        <f>SUM(I62:I71)</f>
        <v>0</v>
      </c>
      <c r="J72" s="50" t="e">
        <f>M72/I72</f>
        <v>#DIV/0!</v>
      </c>
      <c r="K72" s="54">
        <f>SUM(K62:K71)</f>
        <v>0</v>
      </c>
      <c r="L72" s="54"/>
      <c r="M72" s="54">
        <f>SUM(M62:M71)</f>
        <v>3829767.7760000001</v>
      </c>
      <c r="N72" s="97">
        <f>Q72/M72</f>
        <v>1.0200000000000002</v>
      </c>
      <c r="O72" s="54">
        <f>SUM(O62:O71)</f>
        <v>0</v>
      </c>
      <c r="P72" s="54"/>
      <c r="Q72" s="54">
        <f>SUM(Q62:Q71)</f>
        <v>3906363.1315200008</v>
      </c>
      <c r="R72" s="97">
        <f>U72/Q72</f>
        <v>1.02</v>
      </c>
      <c r="S72" s="54">
        <f>SUM(S62:S71)</f>
        <v>0</v>
      </c>
      <c r="T72" s="54"/>
      <c r="U72" s="54">
        <f>SUM(U62:U71)</f>
        <v>3984490.3941504005</v>
      </c>
      <c r="V72" s="97">
        <f>Y72/U72</f>
        <v>1.02</v>
      </c>
      <c r="W72" s="54">
        <f>SUM(W62:W71)</f>
        <v>0</v>
      </c>
      <c r="X72" s="54"/>
      <c r="Y72" s="54">
        <f>SUM(Y62:Y71)</f>
        <v>4064180.2020334085</v>
      </c>
      <c r="Z72" s="97">
        <f>AC72/Y72</f>
        <v>1.02</v>
      </c>
      <c r="AA72" s="54">
        <f>SUM(AA62:AA71)</f>
        <v>0</v>
      </c>
      <c r="AB72" s="54"/>
      <c r="AC72" s="54">
        <f>SUM(AC62:AC71)</f>
        <v>4145463.8060740763</v>
      </c>
    </row>
    <row r="73" spans="1:29" hidden="1" x14ac:dyDescent="0.25">
      <c r="A73" s="48"/>
      <c r="B73" s="55"/>
      <c r="I73" s="55"/>
      <c r="M73" s="55">
        <f>984442-M72</f>
        <v>-2845325.7760000001</v>
      </c>
      <c r="Q73" s="96">
        <f>6359103.4428-Q72</f>
        <v>2452740.3112799996</v>
      </c>
      <c r="U73" s="96">
        <f>6486285.511656-U72</f>
        <v>2501795.1175055997</v>
      </c>
      <c r="Y73" s="96">
        <f>6616011.22188912-Y72</f>
        <v>2551831.0198557111</v>
      </c>
      <c r="AC73" s="96">
        <f>6748331.4463269-AC72</f>
        <v>2602867.6402528239</v>
      </c>
    </row>
    <row r="74" spans="1:29" x14ac:dyDescent="0.25">
      <c r="A74" s="48"/>
      <c r="B74" s="55"/>
      <c r="I74" s="55"/>
      <c r="M74" s="55"/>
      <c r="Q74" s="96"/>
      <c r="U74" s="96"/>
      <c r="Y74" s="96"/>
      <c r="AC74" s="96"/>
    </row>
    <row r="75" spans="1:29" x14ac:dyDescent="0.25">
      <c r="A75" s="48" t="s">
        <v>58</v>
      </c>
      <c r="B75" s="55"/>
      <c r="I75" s="55"/>
      <c r="M75" s="55"/>
    </row>
    <row r="76" spans="1:29" x14ac:dyDescent="0.25">
      <c r="A76" s="48" t="s">
        <v>59</v>
      </c>
      <c r="B76" s="19"/>
      <c r="H76" s="8">
        <v>13</v>
      </c>
      <c r="I76" s="19"/>
      <c r="J76" s="50">
        <v>1.02</v>
      </c>
      <c r="M76" s="19">
        <v>9564</v>
      </c>
      <c r="N76" s="50">
        <v>1.02</v>
      </c>
      <c r="Q76" s="52">
        <f>M76*N76+O76</f>
        <v>9755.2800000000007</v>
      </c>
      <c r="R76" s="50">
        <v>1.02</v>
      </c>
      <c r="U76" s="52">
        <f>Q76*R76+S76</f>
        <v>9950.3856000000014</v>
      </c>
      <c r="V76" s="50">
        <v>1.02</v>
      </c>
      <c r="Y76" s="52">
        <f>U76*V76+W76</f>
        <v>10149.393312000002</v>
      </c>
      <c r="Z76" s="50">
        <v>1.02</v>
      </c>
      <c r="AC76" s="52">
        <f>Y76*Z76+AA76</f>
        <v>10352.381178240003</v>
      </c>
    </row>
    <row r="77" spans="1:29" x14ac:dyDescent="0.25">
      <c r="A77" s="48" t="s">
        <v>60</v>
      </c>
      <c r="B77" s="19"/>
      <c r="I77" s="19"/>
      <c r="M77" s="19">
        <f>+'CMHA-M 20-21 Bud'!K558</f>
        <v>132440.51999999999</v>
      </c>
      <c r="N77" s="50">
        <v>1.02</v>
      </c>
      <c r="Q77" s="52">
        <f>M77*N77+O77</f>
        <v>135089.33040000001</v>
      </c>
      <c r="R77" s="50">
        <v>1.02</v>
      </c>
      <c r="U77" s="52">
        <f>Q77*R77+S77</f>
        <v>137791.117008</v>
      </c>
      <c r="V77" s="50">
        <v>1.02</v>
      </c>
      <c r="Y77" s="52">
        <f>U77*V77+W77</f>
        <v>140546.93934816</v>
      </c>
      <c r="Z77" s="50">
        <v>1.02</v>
      </c>
      <c r="AC77" s="52">
        <f>Y77*Z77+AA77</f>
        <v>143357.8781351232</v>
      </c>
    </row>
    <row r="78" spans="1:29" x14ac:dyDescent="0.25">
      <c r="A78" s="48" t="s">
        <v>61</v>
      </c>
      <c r="B78" s="19"/>
      <c r="I78" s="19"/>
      <c r="M78" s="19"/>
      <c r="N78" s="50">
        <v>1.02</v>
      </c>
      <c r="Q78" s="52">
        <f>M78*N78+O78</f>
        <v>0</v>
      </c>
      <c r="R78" s="50">
        <v>1.02</v>
      </c>
      <c r="U78" s="52">
        <f>Q78*R78+S78</f>
        <v>0</v>
      </c>
      <c r="V78" s="50">
        <v>1.02</v>
      </c>
      <c r="Y78" s="52">
        <f>U78*V78+W78</f>
        <v>0</v>
      </c>
      <c r="Z78" s="50">
        <v>1.02</v>
      </c>
      <c r="AC78" s="52">
        <f>Y78*Z78+AA78</f>
        <v>0</v>
      </c>
    </row>
    <row r="79" spans="1:29" x14ac:dyDescent="0.25">
      <c r="A79" s="48" t="s">
        <v>62</v>
      </c>
      <c r="B79" s="19"/>
      <c r="I79" s="19"/>
      <c r="J79" s="50">
        <v>1.02</v>
      </c>
      <c r="M79" s="19">
        <f>+'CMHA-M 20-21 Bud'!K537+'CMHA-M 20-21 Bud'!K542+'CMHA-M 20-21 Bud'!K552</f>
        <v>421269.33600000001</v>
      </c>
      <c r="N79" s="50">
        <v>1.02</v>
      </c>
      <c r="Q79" s="52">
        <f>M79*N79+O79</f>
        <v>429694.72272000002</v>
      </c>
      <c r="R79" s="50">
        <v>1.02</v>
      </c>
      <c r="U79" s="52">
        <f>Q79*R79+S79</f>
        <v>438288.61717440002</v>
      </c>
      <c r="V79" s="50">
        <v>1.02</v>
      </c>
      <c r="Y79" s="52">
        <f>U79*V79+W79</f>
        <v>447054.38951788802</v>
      </c>
      <c r="Z79" s="50">
        <v>1.02</v>
      </c>
      <c r="AC79" s="52">
        <f>Y79*Z79+AA79</f>
        <v>455995.47730824578</v>
      </c>
    </row>
    <row r="80" spans="1:29" x14ac:dyDescent="0.25">
      <c r="A80" s="48" t="s">
        <v>63</v>
      </c>
      <c r="B80" s="49"/>
      <c r="H80" s="8">
        <v>18</v>
      </c>
      <c r="I80" s="49"/>
      <c r="J80" s="50">
        <v>1.02</v>
      </c>
      <c r="M80" s="49">
        <f>+'CMHA-M 20-21 Bud'!K584+'CMHA-M 20-21 Bud'!K732+'CMHA-M 20-21 Bud'!K494</f>
        <v>281783.00400000002</v>
      </c>
      <c r="N80" s="50">
        <v>1.02</v>
      </c>
      <c r="Q80" s="52">
        <f>M80*N80+O80</f>
        <v>287418.66408000002</v>
      </c>
      <c r="R80" s="50">
        <v>1.02</v>
      </c>
      <c r="U80" s="52">
        <f>Q80*R80+S80</f>
        <v>293167.03736160003</v>
      </c>
      <c r="V80" s="50">
        <v>1.02</v>
      </c>
      <c r="Y80" s="52">
        <f>U80*V80+W80</f>
        <v>299030.37810883205</v>
      </c>
      <c r="Z80" s="50">
        <v>1.02</v>
      </c>
      <c r="AC80" s="52">
        <f>Y80*Z80+AA80</f>
        <v>305010.9856710087</v>
      </c>
    </row>
    <row r="81" spans="1:29" x14ac:dyDescent="0.25">
      <c r="A81" s="21" t="s">
        <v>64</v>
      </c>
      <c r="B81" s="54">
        <f>SUM(B76:B80)</f>
        <v>0</v>
      </c>
      <c r="I81" s="54">
        <f>SUM(I76:I80)</f>
        <v>0</v>
      </c>
      <c r="J81" s="50" t="e">
        <f>M81/I81</f>
        <v>#DIV/0!</v>
      </c>
      <c r="K81" s="54">
        <f>SUM(K76:K80)</f>
        <v>0</v>
      </c>
      <c r="L81" s="54"/>
      <c r="M81" s="54">
        <f>SUM(M76:M80)</f>
        <v>845056.8600000001</v>
      </c>
      <c r="N81" s="97">
        <f>Q81/M81</f>
        <v>1.02</v>
      </c>
      <c r="O81" s="54">
        <f>SUM(O76:O80)</f>
        <v>0</v>
      </c>
      <c r="P81" s="54"/>
      <c r="Q81" s="54">
        <f>SUM(Q76:Q80)</f>
        <v>861957.9972000001</v>
      </c>
      <c r="R81" s="97">
        <f>U81/Q81</f>
        <v>1.02</v>
      </c>
      <c r="S81" s="54">
        <f>SUM(S76:S80)</f>
        <v>0</v>
      </c>
      <c r="T81" s="54"/>
      <c r="U81" s="54">
        <f>SUM(U76:U80)</f>
        <v>879197.15714400006</v>
      </c>
      <c r="V81" s="97">
        <f>Y81/U81</f>
        <v>1.02</v>
      </c>
      <c r="W81" s="54">
        <f>SUM(W76:W80)</f>
        <v>0</v>
      </c>
      <c r="X81" s="54"/>
      <c r="Y81" s="54">
        <f>SUM(Y76:Y80)</f>
        <v>896781.10028688004</v>
      </c>
      <c r="Z81" s="97">
        <f>AC81/Y81</f>
        <v>1.02</v>
      </c>
      <c r="AA81" s="54">
        <f>SUM(AA76:AA80)</f>
        <v>0</v>
      </c>
      <c r="AB81" s="54"/>
      <c r="AC81" s="54">
        <f>SUM(AC76:AC80)</f>
        <v>914716.72229261766</v>
      </c>
    </row>
    <row r="82" spans="1:29" hidden="1" x14ac:dyDescent="0.25">
      <c r="A82" s="48"/>
      <c r="B82" s="55"/>
      <c r="I82" s="55"/>
      <c r="M82" s="55">
        <f>407255-M81</f>
        <v>-437801.8600000001</v>
      </c>
      <c r="Q82" s="55">
        <f>823651.3872-Q81</f>
        <v>-38306.610000000102</v>
      </c>
      <c r="U82" s="160">
        <f>840124.414944-U81</f>
        <v>-39072.742200000095</v>
      </c>
      <c r="Y82" s="96">
        <f>856926.90324288-Y81</f>
        <v>-39854.19704400003</v>
      </c>
      <c r="AC82" s="96">
        <f>874065.441307738-AC81</f>
        <v>-40651.280984879704</v>
      </c>
    </row>
    <row r="83" spans="1:29" x14ac:dyDescent="0.25">
      <c r="A83" s="48"/>
      <c r="B83" s="55"/>
      <c r="I83" s="55"/>
      <c r="M83" s="55"/>
    </row>
    <row r="84" spans="1:29" x14ac:dyDescent="0.25">
      <c r="A84" s="179" t="s">
        <v>206</v>
      </c>
      <c r="B84" s="49"/>
      <c r="I84" s="49"/>
      <c r="M84" s="49">
        <v>435624</v>
      </c>
      <c r="N84" s="50">
        <v>1</v>
      </c>
      <c r="Q84" s="52">
        <f>M84*N84+O84</f>
        <v>435624</v>
      </c>
      <c r="R84" s="50">
        <v>1</v>
      </c>
      <c r="U84" s="52">
        <f>Q84*R84+S84</f>
        <v>435624</v>
      </c>
      <c r="V84" s="50">
        <v>1</v>
      </c>
      <c r="Y84" s="52">
        <f>U84*V84+W84</f>
        <v>435624</v>
      </c>
      <c r="Z84" s="50">
        <v>1</v>
      </c>
      <c r="AC84" s="52">
        <f>Y84*Z84+AA84</f>
        <v>435624</v>
      </c>
    </row>
    <row r="85" spans="1:29" x14ac:dyDescent="0.25">
      <c r="A85" s="179" t="s">
        <v>207</v>
      </c>
      <c r="B85" s="49"/>
      <c r="I85" s="49"/>
      <c r="M85" s="49">
        <f>+'CMHA-M 20-21 Bud'!K1088</f>
        <v>437050.56000000006</v>
      </c>
      <c r="N85" s="50">
        <v>1</v>
      </c>
      <c r="Q85" s="52">
        <f>M85*N85+O85</f>
        <v>437050.56000000006</v>
      </c>
      <c r="R85" s="50">
        <v>1</v>
      </c>
      <c r="U85" s="52">
        <f>Q85*R85+S85</f>
        <v>437050.56000000006</v>
      </c>
      <c r="V85" s="50">
        <v>1</v>
      </c>
      <c r="Y85" s="52">
        <f>U85*V85+W85</f>
        <v>437050.56000000006</v>
      </c>
      <c r="Z85" s="50">
        <v>1</v>
      </c>
      <c r="AC85" s="52">
        <f>Y85*Z85+AA85</f>
        <v>437050.56000000006</v>
      </c>
    </row>
    <row r="86" spans="1:29" x14ac:dyDescent="0.25">
      <c r="A86" s="60" t="s">
        <v>65</v>
      </c>
      <c r="B86" s="25"/>
      <c r="H86" s="8">
        <v>17</v>
      </c>
      <c r="I86" s="25"/>
      <c r="J86" s="50">
        <v>1</v>
      </c>
      <c r="M86" s="25"/>
      <c r="N86" s="50">
        <v>1</v>
      </c>
      <c r="Q86" s="52">
        <f>M86*N86+O86</f>
        <v>0</v>
      </c>
      <c r="R86" s="50">
        <v>1</v>
      </c>
      <c r="U86" s="52">
        <f>Q86*R86+S86</f>
        <v>0</v>
      </c>
      <c r="V86" s="50">
        <v>1</v>
      </c>
      <c r="Y86" s="52">
        <f>U86*V86+W86</f>
        <v>0</v>
      </c>
      <c r="Z86" s="50">
        <v>1</v>
      </c>
      <c r="AC86" s="52">
        <f>Y86*Z86+AA86</f>
        <v>0</v>
      </c>
    </row>
    <row r="87" spans="1:29" x14ac:dyDescent="0.25">
      <c r="A87" s="264" t="s">
        <v>2649</v>
      </c>
      <c r="B87" s="25"/>
      <c r="I87" s="25"/>
      <c r="M87" s="25">
        <f>-'Admin costs Summary'!E66</f>
        <v>-24274.68</v>
      </c>
      <c r="Q87" s="11">
        <f>+M87</f>
        <v>-24274.68</v>
      </c>
      <c r="U87" s="11">
        <f>+Q87</f>
        <v>-24274.68</v>
      </c>
    </row>
    <row r="88" spans="1:29" x14ac:dyDescent="0.25">
      <c r="A88" s="21" t="s">
        <v>67</v>
      </c>
      <c r="B88" s="54">
        <f>SUM(B84:B87)+B81+B72+B59+B53</f>
        <v>0</v>
      </c>
      <c r="I88" s="54">
        <f>SUM(I84:I87)+I81+I72+I59+I53</f>
        <v>0</v>
      </c>
      <c r="J88" s="50" t="e">
        <f>M88/I88</f>
        <v>#DIV/0!</v>
      </c>
      <c r="K88" s="54">
        <f>K86+K81+K72+K59+K53</f>
        <v>0</v>
      </c>
      <c r="L88" s="54"/>
      <c r="M88" s="54">
        <f>SUM(M84:M87)+M81+M72+M59+M53</f>
        <v>26518904.548</v>
      </c>
      <c r="N88" s="50">
        <f>Q88/M88</f>
        <v>1.0031994758095604</v>
      </c>
      <c r="O88" s="54">
        <f>O86+O81+O72+O59+O53</f>
        <v>0</v>
      </c>
      <c r="P88" s="54"/>
      <c r="Q88" s="54">
        <f>SUM(Q84:Q87)+Q81+Q72+Q59+Q53</f>
        <v>26603751.141597368</v>
      </c>
      <c r="R88" s="50">
        <f>U88/Q88</f>
        <v>1.0161344153169269</v>
      </c>
      <c r="S88" s="54">
        <f>S86+S81+S72+S59+S53</f>
        <v>0</v>
      </c>
      <c r="T88" s="54"/>
      <c r="U88" s="54">
        <f>SUM(U84:U87)+U81+U72+U59+U53</f>
        <v>27032987.111504067</v>
      </c>
      <c r="V88" s="50">
        <f>Y88/U88</f>
        <v>1.0168717910732101</v>
      </c>
      <c r="W88" s="54">
        <f>W86+W81+W72+W59+W53</f>
        <v>0</v>
      </c>
      <c r="X88" s="54">
        <f>+U88-Q88</f>
        <v>429235.96990669891</v>
      </c>
      <c r="Y88" s="54">
        <f>SUM(Y84:Y87)+Y81+Y72+Y59+Y53</f>
        <v>27489082.022134148</v>
      </c>
      <c r="Z88" s="50">
        <f>AC88/Y88</f>
        <v>1.0212614097033901</v>
      </c>
      <c r="AA88" s="54">
        <f>AA86+AA81+AA72+AA59+AA53</f>
        <v>0</v>
      </c>
      <c r="AB88" s="54"/>
      <c r="AC88" s="54">
        <f>SUM(AC84:AC87)+AC81+AC72+AC59+AC53</f>
        <v>28073538.657376833</v>
      </c>
    </row>
    <row r="89" spans="1:29" hidden="1" x14ac:dyDescent="0.25">
      <c r="A89" s="48"/>
      <c r="B89" s="55"/>
      <c r="I89" s="55"/>
      <c r="M89" s="55">
        <f>19277825-M88</f>
        <v>-7241079.5480000004</v>
      </c>
      <c r="Q89" s="96">
        <f>27747194.83-Q88</f>
        <v>1143443.6884026304</v>
      </c>
      <c r="U89" s="96">
        <f>27900817.3735107-U88</f>
        <v>867830.26200663298</v>
      </c>
      <c r="Y89" s="153">
        <f>28057511.762524-Y88</f>
        <v>568429.74038985372</v>
      </c>
      <c r="AC89" s="153">
        <f>28217340.0977745-AC88</f>
        <v>143801.4403976649</v>
      </c>
    </row>
    <row r="90" spans="1:29" x14ac:dyDescent="0.25">
      <c r="A90" s="48"/>
      <c r="B90" s="55"/>
      <c r="I90" s="55"/>
      <c r="M90" s="55"/>
    </row>
    <row r="91" spans="1:29" ht="27.6" x14ac:dyDescent="0.25">
      <c r="A91" s="26" t="s">
        <v>68</v>
      </c>
      <c r="B91" s="61">
        <f>B41-B88</f>
        <v>0</v>
      </c>
      <c r="I91" s="61">
        <f>I41-I88</f>
        <v>0</v>
      </c>
      <c r="M91" s="61">
        <f>M41-M88</f>
        <v>-167830.98800000176</v>
      </c>
      <c r="Q91" s="61">
        <f>Q41-Q88</f>
        <v>-252677.58159736916</v>
      </c>
      <c r="U91" s="61">
        <f>U41-U88</f>
        <v>-681913.55150406808</v>
      </c>
      <c r="Y91" s="61">
        <f>Y41-Y88</f>
        <v>-903205.72653414682</v>
      </c>
      <c r="AC91" s="61">
        <f>AC41-AC88</f>
        <v>-1250511.5988208354</v>
      </c>
    </row>
    <row r="92" spans="1:29" x14ac:dyDescent="0.25">
      <c r="A92" s="26"/>
      <c r="B92" s="62"/>
      <c r="I92" s="62"/>
      <c r="M92" s="62"/>
      <c r="Q92" s="62"/>
      <c r="U92" s="62"/>
      <c r="Y92" s="62"/>
      <c r="AC92" s="62"/>
    </row>
    <row r="93" spans="1:29" x14ac:dyDescent="0.25">
      <c r="A93" s="26"/>
      <c r="B93" s="62"/>
      <c r="I93" s="62"/>
      <c r="M93" s="62"/>
      <c r="Q93" s="62"/>
      <c r="U93" s="62"/>
      <c r="Y93" s="62"/>
      <c r="AC93" s="62"/>
    </row>
    <row r="94" spans="1:29" x14ac:dyDescent="0.25">
      <c r="A94" s="63" t="s">
        <v>69</v>
      </c>
      <c r="B94" s="57"/>
      <c r="I94" s="57"/>
      <c r="M94" s="57">
        <f>+M88-M53</f>
        <v>5932974.5480000004</v>
      </c>
    </row>
    <row r="95" spans="1:29" x14ac:dyDescent="0.25">
      <c r="A95" s="8" t="s">
        <v>70</v>
      </c>
      <c r="B95" s="25"/>
      <c r="I95" s="25"/>
      <c r="M95" s="25"/>
    </row>
    <row r="96" spans="1:29" x14ac:dyDescent="0.25">
      <c r="A96" s="8" t="s">
        <v>71</v>
      </c>
      <c r="B96" s="25"/>
      <c r="I96" s="25"/>
      <c r="M96" s="25"/>
    </row>
    <row r="97" spans="1:29" x14ac:dyDescent="0.25">
      <c r="A97" s="8" t="s">
        <v>72</v>
      </c>
      <c r="B97" s="25"/>
      <c r="I97" s="25"/>
      <c r="M97" s="25"/>
    </row>
    <row r="98" spans="1:29" x14ac:dyDescent="0.25">
      <c r="A98" s="8" t="s">
        <v>139</v>
      </c>
      <c r="B98" s="25"/>
      <c r="I98" s="25"/>
      <c r="M98" s="25"/>
    </row>
    <row r="99" spans="1:29" x14ac:dyDescent="0.25">
      <c r="A99" s="8" t="s">
        <v>73</v>
      </c>
      <c r="B99" s="25"/>
      <c r="I99" s="25"/>
      <c r="M99" s="25"/>
    </row>
    <row r="100" spans="1:29" x14ac:dyDescent="0.25">
      <c r="A100" s="8" t="s">
        <v>73</v>
      </c>
      <c r="B100" s="25"/>
      <c r="I100" s="25"/>
      <c r="M100" s="25"/>
    </row>
    <row r="101" spans="1:29" x14ac:dyDescent="0.25">
      <c r="A101" s="28" t="s">
        <v>74</v>
      </c>
      <c r="B101" s="61">
        <f>SUM(B91:B100)</f>
        <v>0</v>
      </c>
      <c r="I101" s="61">
        <f>SUM(I91:I100)</f>
        <v>0</v>
      </c>
      <c r="M101" s="61">
        <f>SUM(M91:M100)</f>
        <v>5765143.5599999987</v>
      </c>
      <c r="Q101" s="61">
        <f>SUM(Q91:Q100)</f>
        <v>-252677.58159736916</v>
      </c>
      <c r="U101" s="61">
        <f>SUM(U91:U100)</f>
        <v>-681913.55150406808</v>
      </c>
      <c r="Y101" s="61">
        <f>SUM(Y91:Y100)</f>
        <v>-903205.72653414682</v>
      </c>
      <c r="AC101" s="61">
        <f>SUM(AC91:AC100)</f>
        <v>-1250511.5988208354</v>
      </c>
    </row>
    <row r="102" spans="1:29" x14ac:dyDescent="0.25">
      <c r="A102" s="8" t="s">
        <v>75</v>
      </c>
      <c r="B102" s="25"/>
      <c r="I102" s="25"/>
      <c r="M102" s="25"/>
      <c r="Q102" s="25"/>
      <c r="U102" s="25"/>
      <c r="Y102" s="25"/>
      <c r="AC102" s="25"/>
    </row>
    <row r="103" spans="1:29" ht="28.2" thickBot="1" x14ac:dyDescent="0.3">
      <c r="A103" s="30" t="s">
        <v>76</v>
      </c>
      <c r="B103" s="15">
        <f>B101</f>
        <v>0</v>
      </c>
      <c r="I103" s="15">
        <f>I101</f>
        <v>0</v>
      </c>
      <c r="M103" s="15">
        <f>M101</f>
        <v>5765143.5599999987</v>
      </c>
      <c r="Q103" s="15">
        <f>Q101</f>
        <v>-252677.58159736916</v>
      </c>
      <c r="U103" s="15">
        <f>U101</f>
        <v>-681913.55150406808</v>
      </c>
      <c r="Y103" s="15">
        <f>Y101</f>
        <v>-903205.72653414682</v>
      </c>
      <c r="AC103" s="15">
        <f>AC101</f>
        <v>-1250511.5988208354</v>
      </c>
    </row>
    <row r="104" spans="1:29" ht="14.4" thickTop="1" x14ac:dyDescent="0.25"/>
    <row r="105" spans="1:29" x14ac:dyDescent="0.25">
      <c r="A105" s="34"/>
    </row>
    <row r="106" spans="1:29" x14ac:dyDescent="0.25">
      <c r="A106" s="34"/>
    </row>
    <row r="107" spans="1:29" x14ac:dyDescent="0.25">
      <c r="A107" s="34"/>
    </row>
    <row r="108" spans="1:29" x14ac:dyDescent="0.25">
      <c r="A108" s="34"/>
    </row>
    <row r="109" spans="1:29" x14ac:dyDescent="0.25">
      <c r="A109" s="82"/>
    </row>
  </sheetData>
  <pageMargins left="0.11811023622047245" right="0.11811023622047245" top="0.55118110236220474" bottom="0.35433070866141736" header="0.31496062992125984" footer="0.31496062992125984"/>
  <pageSetup scale="54" fitToHeight="5" orientation="landscape" r:id="rId1"/>
  <headerFooter>
    <oddHeader>&amp;R&amp;P of &amp;N</oddHeader>
    <oddFooter>&amp;R&amp;F  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46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P61" sqref="P61"/>
    </sheetView>
  </sheetViews>
  <sheetFormatPr defaultColWidth="8.6640625" defaultRowHeight="13.8" x14ac:dyDescent="0.25"/>
  <cols>
    <col min="1" max="1" width="62" style="108" customWidth="1"/>
    <col min="2" max="2" width="17.44140625" style="108" hidden="1" customWidth="1"/>
    <col min="3" max="3" width="14.33203125" style="174" bestFit="1" customWidth="1"/>
    <col min="4" max="4" width="14" style="104" customWidth="1"/>
    <col min="5" max="5" width="14.33203125" style="104" hidden="1" customWidth="1"/>
    <col min="6" max="6" width="13.44140625" style="104" hidden="1" customWidth="1"/>
    <col min="7" max="7" width="14.33203125" style="104" bestFit="1" customWidth="1"/>
    <col min="8" max="8" width="12.6640625" style="104" hidden="1" customWidth="1"/>
    <col min="9" max="9" width="13.33203125" style="104" hidden="1" customWidth="1"/>
    <col min="10" max="10" width="14.33203125" style="104" bestFit="1" customWidth="1"/>
    <col min="11" max="11" width="12.33203125" style="104" hidden="1" customWidth="1"/>
    <col min="12" max="12" width="13.33203125" style="104" hidden="1" customWidth="1"/>
    <col min="13" max="13" width="14.33203125" style="104" bestFit="1" customWidth="1"/>
    <col min="14" max="15" width="11.33203125" style="104" hidden="1" customWidth="1"/>
    <col min="16" max="16" width="13.33203125" style="104" bestFit="1" customWidth="1"/>
    <col min="17" max="16384" width="8.6640625" style="104"/>
  </cols>
  <sheetData>
    <row r="1" spans="1:15" s="172" customFormat="1" ht="42" x14ac:dyDescent="0.3">
      <c r="A1" s="100" t="s">
        <v>0</v>
      </c>
      <c r="B1" s="185" t="s">
        <v>203</v>
      </c>
      <c r="C1" s="170" t="s">
        <v>2</v>
      </c>
      <c r="D1" s="170" t="s">
        <v>3</v>
      </c>
      <c r="E1" s="171" t="s">
        <v>4</v>
      </c>
      <c r="F1" s="171" t="s">
        <v>5</v>
      </c>
      <c r="G1" s="170" t="s">
        <v>6</v>
      </c>
      <c r="H1" s="171" t="s">
        <v>7</v>
      </c>
      <c r="I1" s="171" t="s">
        <v>8</v>
      </c>
      <c r="J1" s="170" t="s">
        <v>9</v>
      </c>
      <c r="K1" s="171" t="s">
        <v>10</v>
      </c>
      <c r="L1" s="171" t="s">
        <v>11</v>
      </c>
      <c r="M1" s="170" t="s">
        <v>12</v>
      </c>
      <c r="N1" s="171" t="s">
        <v>13</v>
      </c>
      <c r="O1" s="171" t="s">
        <v>14</v>
      </c>
    </row>
    <row r="2" spans="1:15" x14ac:dyDescent="0.25">
      <c r="A2" s="101" t="s">
        <v>15</v>
      </c>
      <c r="B2" s="101"/>
      <c r="C2" s="173"/>
    </row>
    <row r="3" spans="1:15" x14ac:dyDescent="0.25">
      <c r="A3" s="102"/>
      <c r="B3" s="102"/>
      <c r="C3" s="161"/>
    </row>
    <row r="4" spans="1:15" x14ac:dyDescent="0.25">
      <c r="A4" s="102" t="s">
        <v>16</v>
      </c>
      <c r="B4" s="102"/>
      <c r="C4" s="161">
        <f>'Detailed Support - Middlesex'!M20</f>
        <v>0</v>
      </c>
      <c r="D4" s="174"/>
    </row>
    <row r="5" spans="1:15" x14ac:dyDescent="0.25">
      <c r="A5" s="103" t="s">
        <v>17</v>
      </c>
      <c r="B5" s="103"/>
      <c r="C5" s="161">
        <f>'Detailed Support - Middlesex'!M21</f>
        <v>22649523</v>
      </c>
      <c r="D5" s="161">
        <f>'Detailed Support - Middlesex'!Q21</f>
        <v>22649523</v>
      </c>
      <c r="E5" s="174">
        <f>D5-C5</f>
        <v>0</v>
      </c>
      <c r="G5" s="161">
        <f>'Detailed Support - Middlesex'!U21</f>
        <v>22649523</v>
      </c>
      <c r="H5" s="174">
        <f>G5-D5</f>
        <v>0</v>
      </c>
      <c r="J5" s="161">
        <f>'Detailed Support - Middlesex'!Y21</f>
        <v>22876018.23</v>
      </c>
      <c r="K5" s="174">
        <f>J5-G5</f>
        <v>226495.23000000045</v>
      </c>
      <c r="M5" s="161">
        <f>'Detailed Support - Middlesex'!AC21</f>
        <v>23104778.412300002</v>
      </c>
      <c r="N5" s="175">
        <f>M5-J5</f>
        <v>228760.18230000138</v>
      </c>
    </row>
    <row r="6" spans="1:15" x14ac:dyDescent="0.25">
      <c r="A6" s="103" t="s">
        <v>204</v>
      </c>
      <c r="B6" s="103"/>
      <c r="C6" s="161">
        <f>'Detailed Support - Middlesex'!M22</f>
        <v>437050.56000000006</v>
      </c>
      <c r="D6" s="161">
        <f>'Detailed Support - Middlesex'!Q22</f>
        <v>437050.56000000006</v>
      </c>
      <c r="E6" s="174"/>
      <c r="G6" s="161">
        <f>'Detailed Support - Middlesex'!U22</f>
        <v>437050.56000000006</v>
      </c>
      <c r="H6" s="174"/>
      <c r="J6" s="161">
        <f>'Detailed Support - Middlesex'!Y22</f>
        <v>441421.06560000009</v>
      </c>
      <c r="K6" s="174"/>
      <c r="M6" s="161">
        <f>'Detailed Support - Middlesex'!AC22</f>
        <v>445835.2762560001</v>
      </c>
      <c r="N6" s="175"/>
    </row>
    <row r="7" spans="1:15" x14ac:dyDescent="0.25">
      <c r="A7" s="103" t="s">
        <v>205</v>
      </c>
      <c r="B7" s="103"/>
      <c r="C7" s="161">
        <f>'Detailed Support - Middlesex'!M23</f>
        <v>37200</v>
      </c>
      <c r="D7" s="161">
        <f>'Detailed Support - Middlesex'!Q23</f>
        <v>37200</v>
      </c>
      <c r="E7" s="174"/>
      <c r="G7" s="161">
        <f>'Detailed Support - Middlesex'!U23</f>
        <v>37200</v>
      </c>
      <c r="H7" s="174"/>
      <c r="J7" s="161">
        <f>'Detailed Support - Middlesex'!Y23</f>
        <v>37572</v>
      </c>
      <c r="K7" s="174"/>
      <c r="M7" s="161">
        <f>'Detailed Support - Middlesex'!AC23</f>
        <v>37947.72</v>
      </c>
      <c r="N7" s="175"/>
    </row>
    <row r="8" spans="1:15" x14ac:dyDescent="0.25">
      <c r="A8" s="103" t="s">
        <v>18</v>
      </c>
      <c r="B8" s="103"/>
      <c r="C8" s="161">
        <f>'Detailed Support - Middlesex'!M24</f>
        <v>0</v>
      </c>
      <c r="D8" s="161">
        <f>'Detailed Support - Middlesex'!Q24</f>
        <v>0</v>
      </c>
      <c r="G8" s="161">
        <f>'Detailed Support - Middlesex'!U24</f>
        <v>0</v>
      </c>
      <c r="J8" s="161">
        <f>'Detailed Support - Middlesex'!Y24</f>
        <v>0</v>
      </c>
      <c r="M8" s="161">
        <f>'Detailed Support - Middlesex'!AC24</f>
        <v>0</v>
      </c>
    </row>
    <row r="9" spans="1:15" x14ac:dyDescent="0.25">
      <c r="A9" s="103" t="s">
        <v>19</v>
      </c>
      <c r="B9" s="103"/>
      <c r="C9" s="161">
        <f>'Detailed Support - Middlesex'!M25</f>
        <v>0</v>
      </c>
      <c r="D9" s="161">
        <f>'Detailed Support - Middlesex'!Q25</f>
        <v>0</v>
      </c>
      <c r="G9" s="161">
        <f>'Detailed Support - Middlesex'!U25</f>
        <v>0</v>
      </c>
      <c r="J9" s="161">
        <f>'Detailed Support - Middlesex'!Y25</f>
        <v>0</v>
      </c>
      <c r="M9" s="161">
        <f>'Detailed Support - Middlesex'!AC25</f>
        <v>0</v>
      </c>
    </row>
    <row r="10" spans="1:15" x14ac:dyDescent="0.25">
      <c r="A10" s="104" t="s">
        <v>20</v>
      </c>
      <c r="B10" s="104"/>
      <c r="C10" s="161">
        <f>'Detailed Support - Middlesex'!M26</f>
        <v>0</v>
      </c>
      <c r="D10" s="161">
        <f>'Detailed Support - Middlesex'!Q26</f>
        <v>0</v>
      </c>
      <c r="E10" s="174">
        <f>D10-C10</f>
        <v>0</v>
      </c>
      <c r="G10" s="161">
        <f>'Detailed Support - Middlesex'!U26</f>
        <v>0</v>
      </c>
      <c r="H10" s="174">
        <f>G10-D10</f>
        <v>0</v>
      </c>
      <c r="J10" s="161">
        <f>'Detailed Support - Middlesex'!Y26</f>
        <v>0</v>
      </c>
      <c r="K10" s="174">
        <f>J10-G10</f>
        <v>0</v>
      </c>
      <c r="M10" s="161">
        <f>'Detailed Support - Middlesex'!AC26</f>
        <v>0</v>
      </c>
      <c r="N10" s="175">
        <f>M10-J10</f>
        <v>0</v>
      </c>
    </row>
    <row r="11" spans="1:15" x14ac:dyDescent="0.25">
      <c r="A11" s="104" t="s">
        <v>21</v>
      </c>
      <c r="B11" s="104"/>
      <c r="C11" s="161">
        <f>'Detailed Support - Middlesex'!M27</f>
        <v>356500</v>
      </c>
      <c r="D11" s="161">
        <f>'Detailed Support - Middlesex'!Q27</f>
        <v>356500</v>
      </c>
      <c r="E11" s="174">
        <f>D11-C11</f>
        <v>0</v>
      </c>
      <c r="G11" s="161">
        <f>'Detailed Support - Middlesex'!U27</f>
        <v>356500</v>
      </c>
      <c r="H11" s="174">
        <f>G11-D11</f>
        <v>0</v>
      </c>
      <c r="J11" s="161">
        <f>'Detailed Support - Middlesex'!Y27</f>
        <v>360065</v>
      </c>
      <c r="K11" s="174">
        <f>J11-G11</f>
        <v>3565</v>
      </c>
      <c r="M11" s="161">
        <f>'Detailed Support - Middlesex'!AC27</f>
        <v>363665.65</v>
      </c>
      <c r="N11" s="175">
        <f>M11-J11</f>
        <v>3600.6500000000233</v>
      </c>
    </row>
    <row r="12" spans="1:15" x14ac:dyDescent="0.25">
      <c r="A12" s="104" t="s">
        <v>22</v>
      </c>
      <c r="B12" s="104"/>
      <c r="C12" s="161">
        <f>'Detailed Support - Middlesex'!M28</f>
        <v>0</v>
      </c>
      <c r="D12" s="161">
        <f>'Detailed Support - Middlesex'!Q28</f>
        <v>0</v>
      </c>
      <c r="G12" s="161">
        <f>'Detailed Support - Middlesex'!U28</f>
        <v>0</v>
      </c>
      <c r="J12" s="161">
        <f>'Detailed Support - Middlesex'!Y28</f>
        <v>0</v>
      </c>
      <c r="M12" s="161">
        <f>'Detailed Support - Middlesex'!AC28</f>
        <v>0</v>
      </c>
    </row>
    <row r="13" spans="1:15" ht="15" customHeight="1" x14ac:dyDescent="0.25">
      <c r="A13" s="94" t="s">
        <v>23</v>
      </c>
      <c r="B13" s="94"/>
      <c r="C13" s="161">
        <f>'Detailed Support - Middlesex'!M29</f>
        <v>0</v>
      </c>
      <c r="D13" s="161">
        <f>'Detailed Support - Middlesex'!Q29</f>
        <v>0</v>
      </c>
      <c r="G13" s="161">
        <f>'Detailed Support - Middlesex'!U29</f>
        <v>0</v>
      </c>
      <c r="J13" s="161">
        <f>'Detailed Support - Middlesex'!Y29</f>
        <v>0</v>
      </c>
      <c r="M13" s="161">
        <f>'Detailed Support - Middlesex'!AC29</f>
        <v>0</v>
      </c>
    </row>
    <row r="14" spans="1:15" x14ac:dyDescent="0.25">
      <c r="A14" s="21" t="s">
        <v>24</v>
      </c>
      <c r="B14" s="21"/>
      <c r="C14" s="162">
        <f>SUM(C4:C13)</f>
        <v>23480273.559999999</v>
      </c>
      <c r="D14" s="162">
        <f>SUM(D4:D13)</f>
        <v>23480273.559999999</v>
      </c>
      <c r="E14" s="162">
        <f>SUM(E4:E13)</f>
        <v>0</v>
      </c>
      <c r="F14" s="162">
        <f>SUM(F4:F13)</f>
        <v>0</v>
      </c>
      <c r="G14" s="162">
        <f>SUM(G4:G13)</f>
        <v>23480273.559999999</v>
      </c>
      <c r="H14" s="23"/>
      <c r="I14" s="23"/>
      <c r="J14" s="162">
        <f>SUM(J4:J13)</f>
        <v>23715076.295600001</v>
      </c>
      <c r="K14" s="162">
        <f>SUM(K4:K13)</f>
        <v>230060.23000000045</v>
      </c>
      <c r="L14" s="162">
        <f>SUM(L4:L13)</f>
        <v>0</v>
      </c>
      <c r="M14" s="162">
        <f>SUM(M4:M13)</f>
        <v>23952227.058555998</v>
      </c>
      <c r="N14" s="162">
        <f>SUM(N4:N13)</f>
        <v>232360.83230000141</v>
      </c>
      <c r="O14" s="23"/>
    </row>
    <row r="15" spans="1:15" x14ac:dyDescent="0.25">
      <c r="A15" s="102"/>
      <c r="B15" s="102"/>
      <c r="C15" s="151"/>
      <c r="D15" s="151"/>
      <c r="G15" s="151"/>
      <c r="J15" s="151"/>
      <c r="M15" s="151"/>
    </row>
    <row r="16" spans="1:15" ht="14.7" customHeight="1" x14ac:dyDescent="0.25">
      <c r="A16" s="102" t="s">
        <v>25</v>
      </c>
      <c r="B16" s="102"/>
      <c r="C16" s="161">
        <f>'Detailed Support - Middlesex'!M32</f>
        <v>12000</v>
      </c>
      <c r="D16" s="161">
        <f>'Detailed Support - Middlesex'!Q32</f>
        <v>12000</v>
      </c>
      <c r="E16" s="174">
        <f>D16-C16</f>
        <v>0</v>
      </c>
      <c r="G16" s="161">
        <f>'Detailed Support - Middlesex'!U32</f>
        <v>12000</v>
      </c>
      <c r="H16" s="174">
        <f>G16-D16</f>
        <v>0</v>
      </c>
      <c r="I16" s="83"/>
      <c r="J16" s="161">
        <f>'Detailed Support - Middlesex'!Y32</f>
        <v>12000</v>
      </c>
      <c r="K16" s="174">
        <f>J16-G16</f>
        <v>0</v>
      </c>
      <c r="L16" s="83"/>
      <c r="M16" s="161">
        <f>'Detailed Support - Middlesex'!AC32</f>
        <v>12000</v>
      </c>
      <c r="N16" s="175">
        <f t="shared" ref="N16:N22" si="0">M16-J16</f>
        <v>0</v>
      </c>
    </row>
    <row r="17" spans="1:15" x14ac:dyDescent="0.25">
      <c r="A17" s="94" t="s">
        <v>26</v>
      </c>
      <c r="B17" s="94"/>
      <c r="C17" s="161">
        <f>'Detailed Support - Middlesex'!M33</f>
        <v>1380807</v>
      </c>
      <c r="D17" s="161">
        <f>'Detailed Support - Middlesex'!Q33</f>
        <v>1380807</v>
      </c>
      <c r="G17" s="161">
        <f>'Detailed Support - Middlesex'!U33</f>
        <v>1380807</v>
      </c>
      <c r="H17" s="83"/>
      <c r="I17" s="83"/>
      <c r="J17" s="161">
        <f>'Detailed Support - Middlesex'!Y33</f>
        <v>1380807</v>
      </c>
      <c r="K17" s="83"/>
      <c r="L17" s="83"/>
      <c r="M17" s="161">
        <f>'Detailed Support - Middlesex'!AC33</f>
        <v>1380807</v>
      </c>
      <c r="N17" s="175">
        <f t="shared" si="0"/>
        <v>0</v>
      </c>
    </row>
    <row r="18" spans="1:15" x14ac:dyDescent="0.25">
      <c r="A18" s="94" t="s">
        <v>27</v>
      </c>
      <c r="B18" s="94"/>
      <c r="C18" s="161">
        <f>'Detailed Support - Middlesex'!M34</f>
        <v>1399766</v>
      </c>
      <c r="D18" s="161">
        <f>'Detailed Support - Middlesex'!Q34</f>
        <v>1399766</v>
      </c>
      <c r="G18" s="161">
        <f>'Detailed Support - Middlesex'!U34</f>
        <v>1399766</v>
      </c>
      <c r="H18" s="83"/>
      <c r="I18" s="83"/>
      <c r="J18" s="161">
        <f>'Detailed Support - Middlesex'!Y34</f>
        <v>1399766</v>
      </c>
      <c r="K18" s="83"/>
      <c r="L18" s="83"/>
      <c r="M18" s="161">
        <f>'Detailed Support - Middlesex'!AC34</f>
        <v>1399766</v>
      </c>
      <c r="N18" s="175">
        <f t="shared" si="0"/>
        <v>0</v>
      </c>
    </row>
    <row r="19" spans="1:15" x14ac:dyDescent="0.25">
      <c r="A19" s="94" t="s">
        <v>28</v>
      </c>
      <c r="B19" s="94"/>
      <c r="C19" s="161">
        <f>'Detailed Support - Middlesex'!M35</f>
        <v>0</v>
      </c>
      <c r="D19" s="161">
        <f>'Detailed Support - Middlesex'!Q35</f>
        <v>0</v>
      </c>
      <c r="G19" s="161">
        <f>'Detailed Support - Middlesex'!U35</f>
        <v>0</v>
      </c>
      <c r="H19" s="83"/>
      <c r="I19" s="83"/>
      <c r="J19" s="161">
        <f>'Detailed Support - Middlesex'!Y35</f>
        <v>0</v>
      </c>
      <c r="K19" s="83"/>
      <c r="L19" s="83"/>
      <c r="M19" s="161">
        <f>'Detailed Support - Middlesex'!AC35</f>
        <v>0</v>
      </c>
      <c r="N19" s="175">
        <f t="shared" si="0"/>
        <v>0</v>
      </c>
    </row>
    <row r="20" spans="1:15" x14ac:dyDescent="0.25">
      <c r="A20" s="94" t="s">
        <v>29</v>
      </c>
      <c r="B20" s="94"/>
      <c r="C20" s="161">
        <f>'Detailed Support - Middlesex'!M36</f>
        <v>0</v>
      </c>
      <c r="D20" s="161">
        <f>'Detailed Support - Middlesex'!Q36</f>
        <v>0</v>
      </c>
      <c r="G20" s="161">
        <f>'Detailed Support - Middlesex'!U36</f>
        <v>0</v>
      </c>
      <c r="H20" s="83"/>
      <c r="I20" s="83"/>
      <c r="J20" s="161">
        <f>'Detailed Support - Middlesex'!Y36</f>
        <v>0</v>
      </c>
      <c r="K20" s="83"/>
      <c r="L20" s="83"/>
      <c r="M20" s="161">
        <f>'Detailed Support - Middlesex'!AC36</f>
        <v>0</v>
      </c>
      <c r="N20" s="175">
        <f t="shared" si="0"/>
        <v>0</v>
      </c>
    </row>
    <row r="21" spans="1:15" x14ac:dyDescent="0.25">
      <c r="A21" s="94" t="s">
        <v>30</v>
      </c>
      <c r="B21" s="94"/>
      <c r="C21" s="161">
        <f>'Detailed Support - Middlesex'!M37</f>
        <v>0</v>
      </c>
      <c r="D21" s="161">
        <f>'Detailed Support - Middlesex'!Q37</f>
        <v>0</v>
      </c>
      <c r="G21" s="161">
        <f>'Detailed Support - Middlesex'!U37</f>
        <v>0</v>
      </c>
      <c r="H21" s="83"/>
      <c r="I21" s="83"/>
      <c r="J21" s="161">
        <f>'Detailed Support - Middlesex'!Y37</f>
        <v>0</v>
      </c>
      <c r="K21" s="83"/>
      <c r="L21" s="83"/>
      <c r="M21" s="161">
        <f>'Detailed Support - Middlesex'!AC37</f>
        <v>0</v>
      </c>
      <c r="N21" s="175">
        <f t="shared" si="0"/>
        <v>0</v>
      </c>
    </row>
    <row r="22" spans="1:15" x14ac:dyDescent="0.25">
      <c r="A22" s="94" t="s">
        <v>31</v>
      </c>
      <c r="B22" s="94"/>
      <c r="C22" s="161">
        <f>'Detailed Support - Middlesex'!M38</f>
        <v>78227</v>
      </c>
      <c r="D22" s="161">
        <f>'Detailed Support - Middlesex'!Q38</f>
        <v>78227</v>
      </c>
      <c r="E22" s="174">
        <f>D22-C22</f>
        <v>0</v>
      </c>
      <c r="G22" s="161">
        <f>'Detailed Support - Middlesex'!U38</f>
        <v>78227</v>
      </c>
      <c r="H22" s="174">
        <f>G22-D22</f>
        <v>0</v>
      </c>
      <c r="I22" s="83"/>
      <c r="J22" s="161">
        <f>'Detailed Support - Middlesex'!Y38</f>
        <v>78227</v>
      </c>
      <c r="K22" s="174">
        <f>J22-G22</f>
        <v>0</v>
      </c>
      <c r="L22" s="83"/>
      <c r="M22" s="161">
        <f>'Detailed Support - Middlesex'!AC38</f>
        <v>78227</v>
      </c>
      <c r="N22" s="175">
        <f t="shared" si="0"/>
        <v>0</v>
      </c>
    </row>
    <row r="23" spans="1:15" x14ac:dyDescent="0.25">
      <c r="A23" s="94"/>
      <c r="B23" s="94"/>
      <c r="C23" s="161">
        <f>'Detailed Support - Middlesex'!M39</f>
        <v>0</v>
      </c>
      <c r="D23" s="161">
        <f>'Detailed Support - Middlesex'!Q39</f>
        <v>0</v>
      </c>
      <c r="G23" s="161">
        <f>'Detailed Support - Middlesex'!U39</f>
        <v>0</v>
      </c>
      <c r="H23" s="83"/>
      <c r="I23" s="83"/>
      <c r="J23" s="161">
        <f>'Detailed Support - Middlesex'!Y39</f>
        <v>0</v>
      </c>
      <c r="K23" s="83"/>
      <c r="L23" s="83"/>
      <c r="M23" s="161">
        <f>'Detailed Support - Middlesex'!AC39</f>
        <v>0</v>
      </c>
    </row>
    <row r="24" spans="1:15" x14ac:dyDescent="0.25">
      <c r="A24" s="94" t="s">
        <v>32</v>
      </c>
      <c r="B24" s="94"/>
      <c r="C24" s="161">
        <f>'Detailed Support - Middlesex'!M40</f>
        <v>0</v>
      </c>
      <c r="D24" s="161">
        <f>'Detailed Support - Middlesex'!Q40</f>
        <v>0</v>
      </c>
      <c r="G24" s="161">
        <f>'Detailed Support - Middlesex'!U40</f>
        <v>0</v>
      </c>
      <c r="J24" s="161">
        <f>'Detailed Support - Middlesex'!Y40</f>
        <v>0</v>
      </c>
      <c r="M24" s="161">
        <f>'Detailed Support - Middlesex'!AC40</f>
        <v>0</v>
      </c>
    </row>
    <row r="25" spans="1:15" s="108" customFormat="1" ht="14.4" thickBot="1" x14ac:dyDescent="0.3">
      <c r="A25" s="14" t="s">
        <v>33</v>
      </c>
      <c r="B25" s="14"/>
      <c r="C25" s="20">
        <f>SUM(C14:C24)</f>
        <v>26351073.559999999</v>
      </c>
      <c r="D25" s="20">
        <f>SUM(D14:D24)</f>
        <v>26351073.559999999</v>
      </c>
      <c r="E25" s="20">
        <f>SUM(E14:E24)</f>
        <v>0</v>
      </c>
      <c r="F25" s="20">
        <f>SUM(F14:F24)</f>
        <v>0</v>
      </c>
      <c r="G25" s="20">
        <f>SUM(G14:G24)</f>
        <v>26351073.559999999</v>
      </c>
      <c r="H25" s="115"/>
      <c r="I25" s="115"/>
      <c r="J25" s="20">
        <f>SUM(J14:J24)</f>
        <v>26585876.295600001</v>
      </c>
      <c r="K25" s="20">
        <f>SUM(K14:K24)</f>
        <v>230060.23000000045</v>
      </c>
      <c r="L25" s="20">
        <f>SUM(L14:L24)</f>
        <v>0</v>
      </c>
      <c r="M25" s="20">
        <f>SUM(M14:M24)</f>
        <v>26823027.058555998</v>
      </c>
      <c r="N25" s="20">
        <f>SUM(N14:N24)</f>
        <v>232360.83230000141</v>
      </c>
      <c r="O25" s="115"/>
    </row>
    <row r="26" spans="1:15" ht="14.4" thickTop="1" x14ac:dyDescent="0.25">
      <c r="A26" s="102"/>
      <c r="B26" s="102"/>
      <c r="C26" s="18">
        <f>C25-'Detailed Support - Middlesex'!M41</f>
        <v>0</v>
      </c>
      <c r="D26" s="18">
        <f>D25-'Detailed Support - Middlesex'!Q41</f>
        <v>0</v>
      </c>
      <c r="G26" s="18">
        <f>G25-'Detailed Support - Middlesex'!U41</f>
        <v>0</v>
      </c>
      <c r="J26" s="18">
        <f>J25-'Detailed Support - Middlesex'!Y41</f>
        <v>0</v>
      </c>
      <c r="M26" s="18">
        <f>M25-'Detailed Support - Middlesex'!AC41</f>
        <v>0</v>
      </c>
    </row>
    <row r="27" spans="1:15" x14ac:dyDescent="0.25">
      <c r="A27" s="101" t="s">
        <v>34</v>
      </c>
      <c r="B27" s="101"/>
      <c r="D27" s="174"/>
      <c r="G27" s="174"/>
      <c r="J27" s="174"/>
      <c r="M27" s="174"/>
    </row>
    <row r="28" spans="1:15" ht="25.2" customHeight="1" x14ac:dyDescent="0.25">
      <c r="A28" s="102" t="s">
        <v>35</v>
      </c>
      <c r="B28" s="102"/>
      <c r="C28" s="19"/>
      <c r="D28" s="19"/>
      <c r="G28" s="19"/>
      <c r="J28" s="19"/>
      <c r="M28" s="19"/>
    </row>
    <row r="29" spans="1:15" x14ac:dyDescent="0.25">
      <c r="A29" s="94" t="s">
        <v>36</v>
      </c>
      <c r="B29" s="94"/>
      <c r="C29" s="161">
        <f>'Detailed Support - Middlesex'!M46</f>
        <v>2716878.6885245903</v>
      </c>
      <c r="D29" s="161">
        <f>'Detailed Support - Middlesex'!Q46</f>
        <v>2689709.9016393446</v>
      </c>
      <c r="E29" s="174">
        <f>D29-C29</f>
        <v>-27168.786885245703</v>
      </c>
      <c r="G29" s="161">
        <f>'Detailed Support - Middlesex'!U46</f>
        <v>2689709.9016393446</v>
      </c>
      <c r="H29" s="174">
        <f>G29-D29</f>
        <v>0</v>
      </c>
      <c r="I29" s="83"/>
      <c r="J29" s="161">
        <f>'Detailed Support - Middlesex'!Y46</f>
        <v>2689709.9016393446</v>
      </c>
      <c r="K29" s="174">
        <f>J29-G29</f>
        <v>0</v>
      </c>
      <c r="L29" s="83"/>
      <c r="M29" s="161">
        <f>'Detailed Support - Middlesex'!AC46</f>
        <v>2689709.9016393446</v>
      </c>
      <c r="N29" s="175">
        <f>M29-J29</f>
        <v>0</v>
      </c>
    </row>
    <row r="30" spans="1:15" x14ac:dyDescent="0.25">
      <c r="A30" s="94" t="s">
        <v>37</v>
      </c>
      <c r="B30" s="94"/>
      <c r="C30" s="161">
        <f>'Detailed Support - Middlesex'!M47</f>
        <v>16468551.311475409</v>
      </c>
      <c r="D30" s="161">
        <f>'Detailed Support - Middlesex'!Q47</f>
        <v>16453865.798360655</v>
      </c>
      <c r="E30" s="174">
        <f>D30-C30</f>
        <v>-14685.513114754111</v>
      </c>
      <c r="G30" s="161">
        <f>'Detailed Support - Middlesex'!U47</f>
        <v>16753865.798360655</v>
      </c>
      <c r="H30" s="174">
        <f>G30-D30</f>
        <v>300000</v>
      </c>
      <c r="I30" s="83"/>
      <c r="J30" s="161">
        <f>'Detailed Support - Middlesex'!Y47</f>
        <v>17203865.798360653</v>
      </c>
      <c r="K30" s="174">
        <f>J30-G30</f>
        <v>449999.99999999814</v>
      </c>
      <c r="L30" s="83"/>
      <c r="M30" s="161">
        <f>'Detailed Support - Middlesex'!AC47</f>
        <v>17653865.798360653</v>
      </c>
      <c r="N30" s="175">
        <f>M30-J30</f>
        <v>450000</v>
      </c>
    </row>
    <row r="31" spans="1:15" x14ac:dyDescent="0.25">
      <c r="A31" s="94" t="str">
        <f>+'Detailed Support - Middlesex'!A48</f>
        <v>Internal Equity</v>
      </c>
      <c r="B31" s="94"/>
      <c r="C31" s="161">
        <f>'Detailed Support - Middlesex'!M48</f>
        <v>150000</v>
      </c>
      <c r="D31" s="161">
        <f>'Detailed Support - Middlesex'!Q48</f>
        <v>150000</v>
      </c>
      <c r="G31" s="161">
        <f>'Detailed Support - Middlesex'!U48</f>
        <v>150000</v>
      </c>
      <c r="J31" s="161">
        <f>'Detailed Support - Middlesex'!Y48</f>
        <v>0</v>
      </c>
      <c r="M31" s="161">
        <f>'Detailed Support - Middlesex'!AC48</f>
        <v>0</v>
      </c>
    </row>
    <row r="32" spans="1:15" x14ac:dyDescent="0.25">
      <c r="A32" s="94" t="str">
        <f>+'Detailed Support - Middlesex'!A49</f>
        <v>Savings of Duplicate positions</v>
      </c>
      <c r="B32" s="94"/>
      <c r="C32" s="161">
        <f>+'Detailed Support - Middlesex'!M49</f>
        <v>0</v>
      </c>
      <c r="D32" s="161">
        <f>+'Detailed Support - Middlesex'!Q49</f>
        <v>0</v>
      </c>
      <c r="G32" s="161">
        <f>+'Detailed Support - Middlesex'!U49</f>
        <v>0</v>
      </c>
      <c r="J32" s="161"/>
      <c r="M32" s="161"/>
    </row>
    <row r="33" spans="1:15" s="108" customFormat="1" x14ac:dyDescent="0.25">
      <c r="A33" s="21" t="s">
        <v>39</v>
      </c>
      <c r="B33" s="21"/>
      <c r="C33" s="162">
        <f>SUM(C29:C32)</f>
        <v>19335430</v>
      </c>
      <c r="D33" s="162">
        <f t="shared" ref="D33:M33" si="1">SUM(D29:D32)</f>
        <v>19293575.699999999</v>
      </c>
      <c r="E33" s="162">
        <f t="shared" si="1"/>
        <v>-41854.299999999814</v>
      </c>
      <c r="F33" s="162">
        <f t="shared" si="1"/>
        <v>0</v>
      </c>
      <c r="G33" s="162">
        <f t="shared" si="1"/>
        <v>19593575.699999999</v>
      </c>
      <c r="H33" s="162">
        <f t="shared" si="1"/>
        <v>300000</v>
      </c>
      <c r="I33" s="162">
        <f t="shared" si="1"/>
        <v>0</v>
      </c>
      <c r="J33" s="162">
        <f t="shared" si="1"/>
        <v>19893575.699999999</v>
      </c>
      <c r="K33" s="162">
        <f t="shared" si="1"/>
        <v>449999.99999999814</v>
      </c>
      <c r="L33" s="162">
        <f t="shared" si="1"/>
        <v>0</v>
      </c>
      <c r="M33" s="162">
        <f t="shared" si="1"/>
        <v>20343575.699999999</v>
      </c>
      <c r="N33" s="162">
        <f>SUM(N29:N31)</f>
        <v>450000</v>
      </c>
      <c r="O33" s="162">
        <f>SUM(O29:O31)</f>
        <v>0</v>
      </c>
    </row>
    <row r="34" spans="1:15" x14ac:dyDescent="0.25">
      <c r="A34" s="94" t="s">
        <v>40</v>
      </c>
      <c r="B34" s="94"/>
      <c r="C34" s="161">
        <f>'Detailed Support - Middlesex'!M52</f>
        <v>1250500</v>
      </c>
      <c r="D34" s="161">
        <f>'Detailed Support - Middlesex'!Q52</f>
        <v>1275510</v>
      </c>
      <c r="E34" s="174">
        <f>D34-C34</f>
        <v>25010</v>
      </c>
      <c r="G34" s="161">
        <f>'Detailed Support - Middlesex'!U52</f>
        <v>1301020.2</v>
      </c>
      <c r="H34" s="174">
        <f>G34-D34</f>
        <v>25510.199999999953</v>
      </c>
      <c r="I34" s="83"/>
      <c r="J34" s="161">
        <f>'Detailed Support - Middlesex'!Y52</f>
        <v>1327040.6040000001</v>
      </c>
      <c r="K34" s="174">
        <f>J34-G34</f>
        <v>26020.404000000097</v>
      </c>
      <c r="L34" s="83"/>
      <c r="M34" s="161">
        <f>'Detailed Support - Middlesex'!AC52</f>
        <v>1353581.4160800001</v>
      </c>
      <c r="N34" s="175">
        <f>M34-J34</f>
        <v>26540.812080000062</v>
      </c>
    </row>
    <row r="35" spans="1:15" s="108" customFormat="1" x14ac:dyDescent="0.25">
      <c r="A35" s="21" t="s">
        <v>41</v>
      </c>
      <c r="B35" s="21"/>
      <c r="C35" s="22">
        <f t="shared" ref="C35:N35" si="2">SUM(C33:C34)</f>
        <v>20585930</v>
      </c>
      <c r="D35" s="22">
        <f t="shared" si="2"/>
        <v>20569085.699999999</v>
      </c>
      <c r="E35" s="22">
        <f t="shared" si="2"/>
        <v>-16844.299999999814</v>
      </c>
      <c r="F35" s="22">
        <f t="shared" si="2"/>
        <v>0</v>
      </c>
      <c r="G35" s="22">
        <f t="shared" si="2"/>
        <v>20894595.899999999</v>
      </c>
      <c r="H35" s="22">
        <f t="shared" si="2"/>
        <v>325510.19999999995</v>
      </c>
      <c r="I35" s="22">
        <f t="shared" si="2"/>
        <v>0</v>
      </c>
      <c r="J35" s="22">
        <f t="shared" si="2"/>
        <v>21220616.303999998</v>
      </c>
      <c r="K35" s="22">
        <f t="shared" si="2"/>
        <v>476020.40399999823</v>
      </c>
      <c r="L35" s="22">
        <f t="shared" si="2"/>
        <v>0</v>
      </c>
      <c r="M35" s="22">
        <f t="shared" si="2"/>
        <v>21697157.116080001</v>
      </c>
      <c r="N35" s="22">
        <f t="shared" si="2"/>
        <v>476540.81208000006</v>
      </c>
      <c r="O35" s="74"/>
    </row>
    <row r="36" spans="1:15" x14ac:dyDescent="0.25">
      <c r="A36" s="102"/>
      <c r="B36" s="102"/>
      <c r="C36" s="161">
        <f>C35-'Detailed Support - Middlesex'!M53</f>
        <v>0</v>
      </c>
      <c r="D36" s="161">
        <f>D35-'Detailed Support - Middlesex'!Q53</f>
        <v>0</v>
      </c>
      <c r="G36" s="161">
        <f>G35-'Detailed Support - Middlesex'!U53</f>
        <v>0</v>
      </c>
      <c r="J36" s="161">
        <f>J35-'Detailed Support - Middlesex'!Y53</f>
        <v>0</v>
      </c>
      <c r="M36" s="161">
        <f>M35-'Detailed Support - Middlesex'!AC53</f>
        <v>0</v>
      </c>
    </row>
    <row r="37" spans="1:15" ht="25.2" customHeight="1" x14ac:dyDescent="0.25">
      <c r="A37" s="102" t="s">
        <v>42</v>
      </c>
      <c r="B37" s="102"/>
      <c r="C37" s="161"/>
      <c r="D37" s="161"/>
      <c r="G37" s="161"/>
      <c r="J37" s="161"/>
      <c r="M37" s="161"/>
    </row>
    <row r="38" spans="1:15" x14ac:dyDescent="0.25">
      <c r="A38" s="94" t="s">
        <v>43</v>
      </c>
      <c r="B38" s="94"/>
      <c r="C38" s="19">
        <f>'Detailed Support - Middlesex'!M57</f>
        <v>201115.10400000002</v>
      </c>
      <c r="D38" s="19">
        <f>'Detailed Support - Middlesex'!Q57</f>
        <v>205137.40608000002</v>
      </c>
      <c r="E38" s="174">
        <f>D38-C38</f>
        <v>4022.302079999994</v>
      </c>
      <c r="G38" s="19">
        <f>'Detailed Support - Middlesex'!U57</f>
        <v>209240.37933044776</v>
      </c>
      <c r="H38" s="174">
        <f>G38-D38</f>
        <v>4102.9732504477433</v>
      </c>
      <c r="J38" s="19">
        <f>'Detailed Support - Middlesex'!Y57</f>
        <v>213425.18691705671</v>
      </c>
      <c r="K38" s="174">
        <f>J38-G38</f>
        <v>4184.8075866089494</v>
      </c>
      <c r="M38" s="19">
        <f>'Detailed Support - Middlesex'!AC57</f>
        <v>217693.69065539783</v>
      </c>
      <c r="N38" s="175">
        <f>M38-J38</f>
        <v>4268.5037383411254</v>
      </c>
    </row>
    <row r="39" spans="1:15" x14ac:dyDescent="0.25">
      <c r="A39" s="94" t="s">
        <v>44</v>
      </c>
      <c r="B39" s="94"/>
      <c r="C39" s="19">
        <f>'Detailed Support - Middlesex'!M58</f>
        <v>208634.92800000001</v>
      </c>
      <c r="D39" s="19">
        <f>'Detailed Support - Middlesex'!Q58</f>
        <v>212807.02679736965</v>
      </c>
      <c r="E39" s="174">
        <f>D39-C39</f>
        <v>4172.0987973696319</v>
      </c>
      <c r="G39" s="19">
        <f>'Detailed Support - Middlesex'!U58</f>
        <v>217063.40087922002</v>
      </c>
      <c r="H39" s="174">
        <f>G39-D39</f>
        <v>4256.374081850372</v>
      </c>
      <c r="J39" s="19">
        <f>'Detailed Support - Middlesex'!Y58</f>
        <v>221404.66889680442</v>
      </c>
      <c r="K39" s="174">
        <f>J39-G39</f>
        <v>4341.2680175843998</v>
      </c>
      <c r="M39" s="19">
        <f>'Detailed Support - Middlesex'!AC58</f>
        <v>225832.7622747405</v>
      </c>
      <c r="N39" s="175">
        <f>M39-J39</f>
        <v>4428.0933779360785</v>
      </c>
    </row>
    <row r="40" spans="1:15" s="108" customFormat="1" x14ac:dyDescent="0.25">
      <c r="A40" s="21" t="s">
        <v>45</v>
      </c>
      <c r="B40" s="21"/>
      <c r="C40" s="22">
        <f>SUM(C38:C39)</f>
        <v>409750.03200000001</v>
      </c>
      <c r="D40" s="22">
        <f>SUM(D38:D39)</f>
        <v>417944.43287736969</v>
      </c>
      <c r="E40" s="22">
        <f t="shared" ref="E40:N40" si="3">SUM(E38:E39)</f>
        <v>8194.400877369626</v>
      </c>
      <c r="F40" s="22">
        <f t="shared" si="3"/>
        <v>0</v>
      </c>
      <c r="G40" s="22">
        <f>SUM(G38:G39)</f>
        <v>426303.78020966775</v>
      </c>
      <c r="H40" s="22">
        <f t="shared" si="3"/>
        <v>8359.3473322981154</v>
      </c>
      <c r="I40" s="22">
        <f t="shared" si="3"/>
        <v>0</v>
      </c>
      <c r="J40" s="22">
        <f>SUM(J38:J39)</f>
        <v>434829.85581386113</v>
      </c>
      <c r="K40" s="22">
        <f t="shared" si="3"/>
        <v>8526.0756041933491</v>
      </c>
      <c r="L40" s="22">
        <f t="shared" si="3"/>
        <v>0</v>
      </c>
      <c r="M40" s="22">
        <f>SUM(M38:M39)</f>
        <v>443526.45293013833</v>
      </c>
      <c r="N40" s="22">
        <f t="shared" si="3"/>
        <v>8696.5971162772039</v>
      </c>
      <c r="O40" s="74"/>
    </row>
    <row r="41" spans="1:15" x14ac:dyDescent="0.25">
      <c r="A41" s="102"/>
      <c r="B41" s="102"/>
      <c r="C41" s="18">
        <f>C40-'Detailed Support - Middlesex'!M59</f>
        <v>0</v>
      </c>
      <c r="D41" s="18"/>
      <c r="G41" s="18"/>
      <c r="J41" s="18"/>
      <c r="M41" s="18"/>
    </row>
    <row r="42" spans="1:15" ht="25.2" customHeight="1" x14ac:dyDescent="0.25">
      <c r="A42" s="102" t="s">
        <v>46</v>
      </c>
      <c r="B42" s="102"/>
      <c r="C42" s="19"/>
      <c r="D42" s="19"/>
      <c r="G42" s="19"/>
      <c r="J42" s="19"/>
      <c r="M42" s="19"/>
    </row>
    <row r="43" spans="1:15" x14ac:dyDescent="0.25">
      <c r="A43" s="94" t="s">
        <v>47</v>
      </c>
      <c r="B43" s="94"/>
      <c r="C43" s="19">
        <f>'Detailed Support - Middlesex'!M62</f>
        <v>2357923.8480000002</v>
      </c>
      <c r="D43" s="19">
        <f>'Detailed Support - Middlesex'!Q62</f>
        <v>2405082.3249600003</v>
      </c>
      <c r="E43" s="174">
        <f>D43-C43</f>
        <v>47158.476960000116</v>
      </c>
      <c r="G43" s="19">
        <f>'Detailed Support - Middlesex'!U62</f>
        <v>2453183.9714592006</v>
      </c>
      <c r="H43" s="174">
        <f>G43-D43</f>
        <v>48101.646499200258</v>
      </c>
      <c r="I43" s="83"/>
      <c r="J43" s="19">
        <f>'Detailed Support - Middlesex'!Y62</f>
        <v>2502247.6508883848</v>
      </c>
      <c r="K43" s="174">
        <f>J43-G43</f>
        <v>49063.67942918418</v>
      </c>
      <c r="L43" s="83"/>
      <c r="M43" s="19">
        <f>'Detailed Support - Middlesex'!AC62</f>
        <v>2552292.6039061523</v>
      </c>
      <c r="N43" s="175">
        <f>M43-J43</f>
        <v>50044.953017767519</v>
      </c>
    </row>
    <row r="44" spans="1:15" x14ac:dyDescent="0.25">
      <c r="A44" s="94" t="s">
        <v>48</v>
      </c>
      <c r="B44" s="94"/>
      <c r="C44" s="19">
        <f>'Detailed Support - Middlesex'!M63</f>
        <v>327501.70799999993</v>
      </c>
      <c r="D44" s="19">
        <f>'Detailed Support - Middlesex'!Q63</f>
        <v>334051.74215999991</v>
      </c>
      <c r="E44" s="174">
        <f>D44-C44</f>
        <v>6550.0341599999811</v>
      </c>
      <c r="G44" s="19">
        <f>'Detailed Support - Middlesex'!U63</f>
        <v>340732.77700319991</v>
      </c>
      <c r="H44" s="174">
        <f>G44-D44</f>
        <v>6681.0348432000028</v>
      </c>
      <c r="I44" s="83"/>
      <c r="J44" s="19">
        <f>'Detailed Support - Middlesex'!Y63</f>
        <v>347547.43254326389</v>
      </c>
      <c r="K44" s="174">
        <f>J44-G44</f>
        <v>6814.6555400639772</v>
      </c>
      <c r="L44" s="83"/>
      <c r="M44" s="19">
        <f>'Detailed Support - Middlesex'!AC63</f>
        <v>354498.38119412918</v>
      </c>
      <c r="N44" s="175">
        <f>M44-J44</f>
        <v>6950.9486508652917</v>
      </c>
    </row>
    <row r="45" spans="1:15" x14ac:dyDescent="0.25">
      <c r="A45" s="94" t="s">
        <v>49</v>
      </c>
      <c r="B45" s="94"/>
      <c r="C45" s="19">
        <f>'Detailed Support - Middlesex'!M64</f>
        <v>248368.20799999998</v>
      </c>
      <c r="D45" s="19">
        <f>'Detailed Support - Middlesex'!Q64</f>
        <v>253335.57215999998</v>
      </c>
      <c r="E45" s="174">
        <f>D45-C45</f>
        <v>4967.3641599999974</v>
      </c>
      <c r="G45" s="19">
        <f>'Detailed Support - Middlesex'!U64</f>
        <v>258402.28360319999</v>
      </c>
      <c r="H45" s="174">
        <f>G45-D45</f>
        <v>5066.7114432000089</v>
      </c>
      <c r="I45" s="83"/>
      <c r="J45" s="19">
        <f>'Detailed Support - Middlesex'!Y64</f>
        <v>263570.329275264</v>
      </c>
      <c r="K45" s="174">
        <f>J45-G45</f>
        <v>5168.0456720640068</v>
      </c>
      <c r="L45" s="83"/>
      <c r="M45" s="19">
        <f>'Detailed Support - Middlesex'!AC64</f>
        <v>268841.73586076929</v>
      </c>
      <c r="N45" s="175">
        <f>M45-J45</f>
        <v>5271.4065855052904</v>
      </c>
    </row>
    <row r="46" spans="1:15" x14ac:dyDescent="0.25">
      <c r="A46" s="94" t="s">
        <v>50</v>
      </c>
      <c r="B46" s="94"/>
      <c r="C46" s="19">
        <f>'Detailed Support - Middlesex'!M65</f>
        <v>0</v>
      </c>
      <c r="D46" s="19">
        <f>'Detailed Support - Middlesex'!Q65</f>
        <v>0</v>
      </c>
      <c r="E46" s="174"/>
      <c r="G46" s="19">
        <f>'Detailed Support - Middlesex'!U65</f>
        <v>0</v>
      </c>
      <c r="H46" s="174"/>
      <c r="I46" s="83"/>
      <c r="J46" s="19">
        <f>'Detailed Support - Middlesex'!Y65</f>
        <v>0</v>
      </c>
      <c r="K46" s="174"/>
      <c r="L46" s="83"/>
      <c r="M46" s="19">
        <f>'Detailed Support - Middlesex'!AC65</f>
        <v>0</v>
      </c>
      <c r="N46" s="175"/>
    </row>
    <row r="47" spans="1:15" x14ac:dyDescent="0.25">
      <c r="A47" s="94" t="s">
        <v>51</v>
      </c>
      <c r="B47" s="94"/>
      <c r="C47" s="19">
        <f>'Detailed Support - Middlesex'!M66</f>
        <v>249897.58800000005</v>
      </c>
      <c r="D47" s="19">
        <f>'Detailed Support - Middlesex'!Q66</f>
        <v>254895.53976000004</v>
      </c>
      <c r="E47" s="174">
        <f>D47-C47</f>
        <v>4997.9517599999963</v>
      </c>
      <c r="G47" s="19">
        <f>'Detailed Support - Middlesex'!U66</f>
        <v>259993.45055520005</v>
      </c>
      <c r="H47" s="174">
        <f>G47-D47</f>
        <v>5097.9107952000049</v>
      </c>
      <c r="I47" s="83"/>
      <c r="J47" s="19">
        <f>'Detailed Support - Middlesex'!Y66</f>
        <v>265193.31956630404</v>
      </c>
      <c r="K47" s="174">
        <f>J47-G47</f>
        <v>5199.8690111039905</v>
      </c>
      <c r="L47" s="83"/>
      <c r="M47" s="19">
        <f>'Detailed Support - Middlesex'!AC66</f>
        <v>270497.18595763011</v>
      </c>
      <c r="N47" s="175">
        <f>M47-J47</f>
        <v>5303.866391326068</v>
      </c>
    </row>
    <row r="48" spans="1:15" x14ac:dyDescent="0.25">
      <c r="A48" s="94" t="s">
        <v>52</v>
      </c>
      <c r="B48" s="94"/>
      <c r="C48" s="19">
        <f>'Detailed Support - Middlesex'!M67</f>
        <v>361436.91599999997</v>
      </c>
      <c r="D48" s="19">
        <f>'Detailed Support - Middlesex'!Q67</f>
        <v>368665.65431999997</v>
      </c>
      <c r="E48" s="174">
        <f>D48-C48</f>
        <v>7228.738320000004</v>
      </c>
      <c r="G48" s="19">
        <f>'Detailed Support - Middlesex'!U67</f>
        <v>376038.96740639996</v>
      </c>
      <c r="H48" s="174">
        <f>G48-D48</f>
        <v>7373.3130863999831</v>
      </c>
      <c r="I48" s="83"/>
      <c r="J48" s="19">
        <f>'Detailed Support - Middlesex'!Y67</f>
        <v>383559.74675452797</v>
      </c>
      <c r="K48" s="174">
        <f>J48-G48</f>
        <v>7520.7793481280096</v>
      </c>
      <c r="L48" s="83"/>
      <c r="M48" s="19">
        <f>'Detailed Support - Middlesex'!AC67</f>
        <v>391230.94168961851</v>
      </c>
      <c r="N48" s="175">
        <f>M48-J48</f>
        <v>7671.1949350905488</v>
      </c>
    </row>
    <row r="49" spans="1:15" x14ac:dyDescent="0.25">
      <c r="A49" s="94" t="s">
        <v>53</v>
      </c>
      <c r="B49" s="94"/>
      <c r="C49" s="19"/>
      <c r="D49" s="19"/>
      <c r="E49" s="174"/>
      <c r="G49" s="19"/>
      <c r="H49" s="174"/>
      <c r="I49" s="83"/>
      <c r="J49" s="19"/>
      <c r="K49" s="174"/>
      <c r="L49" s="83"/>
      <c r="M49" s="19"/>
      <c r="N49" s="175"/>
    </row>
    <row r="50" spans="1:15" x14ac:dyDescent="0.25">
      <c r="A50" s="105" t="s">
        <v>54</v>
      </c>
      <c r="B50" s="105"/>
      <c r="C50" s="19">
        <f>'Detailed Support - Middlesex'!M68</f>
        <v>0</v>
      </c>
      <c r="D50" s="19">
        <f>'Detailed Support - Middlesex'!Q68</f>
        <v>0</v>
      </c>
      <c r="E50" s="174">
        <f>D50-C50</f>
        <v>0</v>
      </c>
      <c r="G50" s="19">
        <f>'Detailed Support - Middlesex'!U68</f>
        <v>0</v>
      </c>
      <c r="H50" s="83">
        <f>G50-D50</f>
        <v>0</v>
      </c>
      <c r="I50" s="83"/>
      <c r="J50" s="19">
        <f>'Detailed Support - Middlesex'!Y68</f>
        <v>0</v>
      </c>
      <c r="K50" s="174">
        <f>J50-G50</f>
        <v>0</v>
      </c>
      <c r="L50" s="83"/>
      <c r="M50" s="19">
        <f>'Detailed Support - Middlesex'!AC68</f>
        <v>0</v>
      </c>
      <c r="N50" s="175">
        <f>M50-J50</f>
        <v>0</v>
      </c>
    </row>
    <row r="51" spans="1:15" x14ac:dyDescent="0.25">
      <c r="A51" s="105" t="s">
        <v>55</v>
      </c>
      <c r="B51" s="105"/>
      <c r="C51" s="19">
        <f>'Detailed Support - Middlesex'!M69</f>
        <v>105129.66000000002</v>
      </c>
      <c r="D51" s="19">
        <f>'Detailed Support - Middlesex'!Q69</f>
        <v>107232.25320000002</v>
      </c>
      <c r="E51" s="174">
        <f>D51-C51</f>
        <v>2102.593200000003</v>
      </c>
      <c r="G51" s="19">
        <f>'Detailed Support - Middlesex'!U69</f>
        <v>109376.89826400002</v>
      </c>
      <c r="H51" s="174">
        <f>G51-D51</f>
        <v>2144.6450639999966</v>
      </c>
      <c r="I51" s="83"/>
      <c r="J51" s="19">
        <f>'Detailed Support - Middlesex'!Y69</f>
        <v>111564.43622928002</v>
      </c>
      <c r="K51" s="174">
        <f>J51-G51</f>
        <v>2187.5379652800038</v>
      </c>
      <c r="L51" s="83"/>
      <c r="M51" s="19">
        <f>'Detailed Support - Middlesex'!AC69</f>
        <v>113795.72495386562</v>
      </c>
      <c r="N51" s="175">
        <f>M51-J51</f>
        <v>2231.2887245855964</v>
      </c>
    </row>
    <row r="52" spans="1:15" x14ac:dyDescent="0.25">
      <c r="A52" s="94" t="s">
        <v>56</v>
      </c>
      <c r="B52" s="94"/>
      <c r="C52" s="19">
        <f>'Detailed Support - Middlesex'!M70</f>
        <v>179509.84799999997</v>
      </c>
      <c r="D52" s="19">
        <f>'Detailed Support - Middlesex'!Q70</f>
        <v>183100.04495999997</v>
      </c>
      <c r="G52" s="19">
        <f>'Detailed Support - Middlesex'!U70</f>
        <v>186762.04585919998</v>
      </c>
      <c r="H52" s="83"/>
      <c r="I52" s="83"/>
      <c r="J52" s="19">
        <f>'Detailed Support - Middlesex'!Y70</f>
        <v>190497.28677638399</v>
      </c>
      <c r="K52" s="174">
        <f>J52-G52</f>
        <v>3735.2409171840118</v>
      </c>
      <c r="L52" s="83"/>
      <c r="M52" s="19">
        <f>'Detailed Support - Middlesex'!AC70</f>
        <v>194307.23251191169</v>
      </c>
      <c r="N52" s="175">
        <f>M52-J52</f>
        <v>3809.9457355276973</v>
      </c>
    </row>
    <row r="53" spans="1:15" s="108" customFormat="1" x14ac:dyDescent="0.25">
      <c r="A53" s="21" t="s">
        <v>57</v>
      </c>
      <c r="B53" s="21"/>
      <c r="C53" s="22">
        <f t="shared" ref="C53:O53" si="4">SUM(C43:C52)</f>
        <v>3829767.7760000001</v>
      </c>
      <c r="D53" s="22">
        <f>SUM(D43:D52)</f>
        <v>3906363.1315200008</v>
      </c>
      <c r="E53" s="22">
        <f t="shared" si="4"/>
        <v>73005.158560000098</v>
      </c>
      <c r="F53" s="22">
        <f t="shared" si="4"/>
        <v>0</v>
      </c>
      <c r="G53" s="22">
        <f>SUM(G43:G52)</f>
        <v>3984490.3941504005</v>
      </c>
      <c r="H53" s="22">
        <f t="shared" si="4"/>
        <v>74465.261731200255</v>
      </c>
      <c r="I53" s="22">
        <f t="shared" si="4"/>
        <v>0</v>
      </c>
      <c r="J53" s="22">
        <f>SUM(J43:J52)</f>
        <v>4064180.2020334085</v>
      </c>
      <c r="K53" s="22">
        <f t="shared" si="4"/>
        <v>79689.807883008179</v>
      </c>
      <c r="L53" s="22">
        <f t="shared" si="4"/>
        <v>0</v>
      </c>
      <c r="M53" s="22">
        <f>SUM(M43:M52)</f>
        <v>4145463.8060740763</v>
      </c>
      <c r="N53" s="22">
        <f t="shared" si="4"/>
        <v>81283.604040668011</v>
      </c>
      <c r="O53" s="22">
        <f t="shared" si="4"/>
        <v>0</v>
      </c>
    </row>
    <row r="54" spans="1:15" x14ac:dyDescent="0.25">
      <c r="A54" s="102"/>
      <c r="B54" s="102"/>
      <c r="C54" s="19">
        <f>C53-'Detailed Support - Middlesex'!M72</f>
        <v>0</v>
      </c>
      <c r="D54" s="19"/>
      <c r="G54" s="19"/>
      <c r="J54" s="19"/>
      <c r="M54" s="19"/>
    </row>
    <row r="55" spans="1:15" ht="25.2" customHeight="1" x14ac:dyDescent="0.25">
      <c r="A55" s="102" t="s">
        <v>58</v>
      </c>
      <c r="B55" s="102"/>
      <c r="C55" s="19"/>
      <c r="D55" s="19"/>
      <c r="G55" s="19"/>
      <c r="J55" s="19"/>
      <c r="M55" s="19"/>
    </row>
    <row r="56" spans="1:15" x14ac:dyDescent="0.25">
      <c r="A56" s="94" t="s">
        <v>59</v>
      </c>
      <c r="B56" s="94"/>
      <c r="C56" s="19">
        <f>'Detailed Support - Middlesex'!M76</f>
        <v>9564</v>
      </c>
      <c r="D56" s="19">
        <f>'Detailed Support - Middlesex'!Q76</f>
        <v>9755.2800000000007</v>
      </c>
      <c r="E56" s="174">
        <f>D56-C56</f>
        <v>191.28000000000065</v>
      </c>
      <c r="G56" s="19">
        <f>'Detailed Support - Middlesex'!U76</f>
        <v>9950.3856000000014</v>
      </c>
      <c r="H56" s="174">
        <f>G56-D56</f>
        <v>195.10560000000078</v>
      </c>
      <c r="J56" s="19">
        <f>'Detailed Support - Middlesex'!Y76</f>
        <v>10149.393312000002</v>
      </c>
      <c r="K56" s="174">
        <f>J56-G56</f>
        <v>199.00771200000054</v>
      </c>
      <c r="M56" s="19">
        <f>'Detailed Support - Middlesex'!AC76</f>
        <v>10352.381178240003</v>
      </c>
      <c r="N56" s="175">
        <f>M56-J56</f>
        <v>202.98786624000059</v>
      </c>
    </row>
    <row r="57" spans="1:15" x14ac:dyDescent="0.25">
      <c r="A57" s="94" t="s">
        <v>60</v>
      </c>
      <c r="B57" s="94"/>
      <c r="C57" s="19">
        <f>'Detailed Support - Middlesex'!M77</f>
        <v>132440.51999999999</v>
      </c>
      <c r="D57" s="19">
        <f>'Detailed Support - Middlesex'!Q77</f>
        <v>135089.33040000001</v>
      </c>
      <c r="E57" s="174">
        <f>D57-C57</f>
        <v>2648.8104000000167</v>
      </c>
      <c r="G57" s="19">
        <f>'Detailed Support - Middlesex'!U77</f>
        <v>137791.117008</v>
      </c>
      <c r="H57" s="174">
        <f>G57-D57</f>
        <v>2701.7866079999949</v>
      </c>
      <c r="I57" s="176"/>
      <c r="J57" s="19">
        <f>'Detailed Support - Middlesex'!Y77</f>
        <v>140546.93934816</v>
      </c>
      <c r="K57" s="174">
        <f>J57-G57</f>
        <v>2755.8223401599971</v>
      </c>
      <c r="L57" s="176"/>
      <c r="M57" s="19">
        <f>'Detailed Support - Middlesex'!AC77</f>
        <v>143357.8781351232</v>
      </c>
      <c r="N57" s="175">
        <f>M57-J57</f>
        <v>2810.9387869632046</v>
      </c>
    </row>
    <row r="58" spans="1:15" x14ac:dyDescent="0.25">
      <c r="A58" s="94" t="s">
        <v>61</v>
      </c>
      <c r="B58" s="94"/>
      <c r="C58" s="19">
        <f>'Detailed Support - Middlesex'!M78</f>
        <v>0</v>
      </c>
      <c r="D58" s="19">
        <f>'Detailed Support - Middlesex'!Q78</f>
        <v>0</v>
      </c>
      <c r="E58" s="174">
        <f>D58-C58</f>
        <v>0</v>
      </c>
      <c r="G58" s="19">
        <f>'Detailed Support - Middlesex'!U78</f>
        <v>0</v>
      </c>
      <c r="H58" s="174">
        <f>G58-D58</f>
        <v>0</v>
      </c>
      <c r="J58" s="19">
        <f>'Detailed Support - Middlesex'!Y78</f>
        <v>0</v>
      </c>
      <c r="K58" s="174">
        <f>J58-G58</f>
        <v>0</v>
      </c>
      <c r="M58" s="19">
        <f>'Detailed Support - Middlesex'!AC78</f>
        <v>0</v>
      </c>
      <c r="N58" s="175">
        <f>M58-J58</f>
        <v>0</v>
      </c>
    </row>
    <row r="59" spans="1:15" x14ac:dyDescent="0.25">
      <c r="A59" s="94" t="s">
        <v>62</v>
      </c>
      <c r="B59" s="94"/>
      <c r="C59" s="19">
        <f>'Detailed Support - Middlesex'!M79</f>
        <v>421269.33600000001</v>
      </c>
      <c r="D59" s="19">
        <f>'Detailed Support - Middlesex'!Q79</f>
        <v>429694.72272000002</v>
      </c>
      <c r="E59" s="174">
        <f>D59-C59</f>
        <v>8425.3867200000095</v>
      </c>
      <c r="F59" s="104" t="s">
        <v>165</v>
      </c>
      <c r="G59" s="19">
        <f>'Detailed Support - Middlesex'!U79</f>
        <v>438288.61717440002</v>
      </c>
      <c r="H59" s="174">
        <f>G59-D59</f>
        <v>8593.8944543999969</v>
      </c>
      <c r="J59" s="19">
        <f>'Detailed Support - Middlesex'!Y79</f>
        <v>447054.38951788802</v>
      </c>
      <c r="K59" s="174">
        <f>J59-G59</f>
        <v>8765.7723434880027</v>
      </c>
      <c r="M59" s="19">
        <f>'Detailed Support - Middlesex'!AC79</f>
        <v>455995.47730824578</v>
      </c>
      <c r="N59" s="175">
        <f>M59-J59</f>
        <v>8941.0877903577639</v>
      </c>
    </row>
    <row r="60" spans="1:15" x14ac:dyDescent="0.25">
      <c r="A60" s="94" t="s">
        <v>63</v>
      </c>
      <c r="B60" s="94"/>
      <c r="C60" s="19">
        <f>'Detailed Support - Middlesex'!M80</f>
        <v>281783.00400000002</v>
      </c>
      <c r="D60" s="19">
        <f>+'Detailed Support - Middlesex'!Q80</f>
        <v>287418.66408000002</v>
      </c>
      <c r="E60" s="174"/>
      <c r="G60" s="19">
        <f>+'Detailed Support - Middlesex'!U80</f>
        <v>293167.03736160003</v>
      </c>
      <c r="H60" s="174"/>
      <c r="J60" s="19">
        <f>+'Detailed Support - Middlesex'!Y80</f>
        <v>299030.37810883205</v>
      </c>
      <c r="K60" s="174"/>
      <c r="M60" s="19">
        <f>+'Detailed Support - Middlesex'!AC80</f>
        <v>305010.9856710087</v>
      </c>
      <c r="N60" s="175"/>
    </row>
    <row r="61" spans="1:15" s="108" customFormat="1" x14ac:dyDescent="0.25">
      <c r="A61" s="21" t="s">
        <v>64</v>
      </c>
      <c r="B61" s="21"/>
      <c r="C61" s="22">
        <f t="shared" ref="C61:M61" si="5">SUM(C56:C60)</f>
        <v>845056.8600000001</v>
      </c>
      <c r="D61" s="22">
        <f t="shared" si="5"/>
        <v>861957.9972000001</v>
      </c>
      <c r="E61" s="22">
        <f t="shared" si="5"/>
        <v>11265.477120000027</v>
      </c>
      <c r="F61" s="22">
        <f t="shared" si="5"/>
        <v>0</v>
      </c>
      <c r="G61" s="22">
        <f t="shared" si="5"/>
        <v>879197.15714400006</v>
      </c>
      <c r="H61" s="22">
        <f t="shared" si="5"/>
        <v>11490.786662399993</v>
      </c>
      <c r="I61" s="22">
        <f t="shared" si="5"/>
        <v>0</v>
      </c>
      <c r="J61" s="22">
        <f t="shared" si="5"/>
        <v>896781.10028688004</v>
      </c>
      <c r="K61" s="22">
        <f t="shared" si="5"/>
        <v>11720.602395648</v>
      </c>
      <c r="L61" s="22">
        <f t="shared" si="5"/>
        <v>0</v>
      </c>
      <c r="M61" s="22">
        <f t="shared" si="5"/>
        <v>914716.72229261766</v>
      </c>
      <c r="N61" s="22">
        <f>SUM(N56:N59)</f>
        <v>11955.014443560969</v>
      </c>
      <c r="O61" s="22">
        <f>SUM(O56:O59)</f>
        <v>0</v>
      </c>
    </row>
    <row r="62" spans="1:15" x14ac:dyDescent="0.25">
      <c r="A62" s="102"/>
      <c r="B62" s="102"/>
      <c r="C62" s="19"/>
      <c r="D62" s="19"/>
      <c r="G62" s="19"/>
      <c r="J62" s="19"/>
      <c r="M62" s="19"/>
    </row>
    <row r="63" spans="1:15" x14ac:dyDescent="0.25">
      <c r="A63" s="94" t="s">
        <v>206</v>
      </c>
      <c r="B63" s="94"/>
      <c r="C63" s="19">
        <f>'Detailed Support - Middlesex'!M84</f>
        <v>435624</v>
      </c>
      <c r="D63" s="19">
        <f>'Detailed Support - Middlesex'!Q84</f>
        <v>435624</v>
      </c>
      <c r="G63" s="19">
        <f>'Detailed Support - Middlesex'!U84</f>
        <v>435624</v>
      </c>
      <c r="H63" s="104">
        <v>435620</v>
      </c>
      <c r="J63" s="19">
        <f>'Detailed Support - Middlesex'!Y84</f>
        <v>435624</v>
      </c>
      <c r="M63" s="19">
        <f>'Detailed Support - Middlesex'!AC84</f>
        <v>435624</v>
      </c>
    </row>
    <row r="64" spans="1:15" x14ac:dyDescent="0.25">
      <c r="A64" s="94" t="s">
        <v>207</v>
      </c>
      <c r="B64" s="94"/>
      <c r="C64" s="19">
        <f>'Detailed Support - Middlesex'!M85</f>
        <v>437050.56000000006</v>
      </c>
      <c r="D64" s="19">
        <f>'Detailed Support - Middlesex'!Q85</f>
        <v>437050.56000000006</v>
      </c>
      <c r="G64" s="19">
        <f>'Detailed Support - Middlesex'!U85</f>
        <v>437050.56000000006</v>
      </c>
      <c r="H64" s="104">
        <v>554044</v>
      </c>
      <c r="J64" s="19">
        <f>'Detailed Support - Middlesex'!Y85</f>
        <v>437050.56000000006</v>
      </c>
      <c r="M64" s="19">
        <f>'Detailed Support - Middlesex'!AC85</f>
        <v>437050.56000000006</v>
      </c>
    </row>
    <row r="65" spans="1:16" x14ac:dyDescent="0.25">
      <c r="A65" s="105" t="s">
        <v>65</v>
      </c>
      <c r="B65" s="105"/>
      <c r="C65" s="19">
        <f>'Detailed Support - Middlesex'!M86</f>
        <v>0</v>
      </c>
      <c r="D65" s="19">
        <f>'Detailed Support - Middlesex'!Q86</f>
        <v>0</v>
      </c>
      <c r="G65" s="19">
        <f>'Detailed Support - Middlesex'!U86</f>
        <v>0</v>
      </c>
      <c r="J65" s="19">
        <f>'Detailed Support - Middlesex'!Y86</f>
        <v>0</v>
      </c>
      <c r="M65" s="19">
        <f>'Detailed Support - Middlesex'!AC86</f>
        <v>0</v>
      </c>
    </row>
    <row r="66" spans="1:16" x14ac:dyDescent="0.25">
      <c r="A66" s="105" t="s">
        <v>2649</v>
      </c>
      <c r="B66" s="105"/>
      <c r="C66" s="19">
        <f>'Detailed Support - Middlesex'!M87</f>
        <v>-24274.68</v>
      </c>
      <c r="D66" s="19">
        <f>'Detailed Support - Middlesex'!Q87</f>
        <v>-24274.68</v>
      </c>
      <c r="G66" s="19">
        <f>'Detailed Support - Middlesex'!U87</f>
        <v>-24274.68</v>
      </c>
      <c r="J66" s="19">
        <f>'Detailed Support - Middlesex'!Y87</f>
        <v>0</v>
      </c>
      <c r="M66" s="19">
        <f>'Detailed Support - Middlesex'!AC87</f>
        <v>0</v>
      </c>
    </row>
    <row r="67" spans="1:16" s="108" customFormat="1" ht="14.4" thickBot="1" x14ac:dyDescent="0.3">
      <c r="A67" s="14" t="s">
        <v>67</v>
      </c>
      <c r="B67" s="14"/>
      <c r="C67" s="20">
        <f>+C61+C53+C40+C35+C63+C64+C66</f>
        <v>26518904.547999997</v>
      </c>
      <c r="D67" s="20">
        <f>+D61+D53+D40+D35+D63+D64+D66</f>
        <v>26603751.141597368</v>
      </c>
      <c r="E67" s="20">
        <f>+E61+E53+E40+E35+E63+E64+E66</f>
        <v>75620.736557369935</v>
      </c>
      <c r="F67" s="20">
        <f>+F61+F53+F40+F35+F63+F64+F66</f>
        <v>0</v>
      </c>
      <c r="G67" s="20">
        <f>+G61+G53+G40+G35+G63+G64+G66</f>
        <v>27032987.111504067</v>
      </c>
      <c r="H67" s="20">
        <f>+H61+H53+H40+H35</f>
        <v>419825.59572589828</v>
      </c>
      <c r="I67" s="20">
        <f>+I61+I53+I40+I35</f>
        <v>0</v>
      </c>
      <c r="J67" s="20">
        <f>+J61+J53+J40+J35+J63+J64</f>
        <v>27489082.022134144</v>
      </c>
      <c r="K67" s="20">
        <f>+K61+K53+K40+K35</f>
        <v>575956.88988284778</v>
      </c>
      <c r="L67" s="20">
        <f>+L61+L53+L40+L35</f>
        <v>0</v>
      </c>
      <c r="M67" s="20">
        <f>+M61+M53+M40+M35+M63+M64</f>
        <v>28073538.657376833</v>
      </c>
      <c r="N67" s="20">
        <f>+N61+N53+N40+N35</f>
        <v>578476.02768050623</v>
      </c>
      <c r="O67" s="20">
        <f>+O61+O53+O40+O35</f>
        <v>0</v>
      </c>
    </row>
    <row r="68" spans="1:16" ht="14.4" thickTop="1" x14ac:dyDescent="0.25">
      <c r="A68" s="102"/>
      <c r="B68" s="102"/>
      <c r="C68" s="19">
        <v>0</v>
      </c>
      <c r="D68" s="19">
        <v>0</v>
      </c>
      <c r="G68" s="19">
        <v>0</v>
      </c>
      <c r="J68" s="19">
        <v>0</v>
      </c>
      <c r="M68" s="19">
        <v>0</v>
      </c>
    </row>
    <row r="69" spans="1:16" x14ac:dyDescent="0.25">
      <c r="A69" s="102"/>
      <c r="B69" s="102"/>
      <c r="C69" s="19"/>
      <c r="D69" s="19"/>
      <c r="G69" s="19"/>
      <c r="J69" s="19"/>
      <c r="M69" s="19"/>
    </row>
    <row r="70" spans="1:16" ht="33" customHeight="1" x14ac:dyDescent="0.25">
      <c r="A70" s="106" t="s">
        <v>68</v>
      </c>
      <c r="B70" s="106"/>
      <c r="C70" s="19">
        <f>+C25-C67</f>
        <v>-167830.98799999803</v>
      </c>
      <c r="D70" s="19">
        <f>+D25-D67</f>
        <v>-252677.58159736916</v>
      </c>
      <c r="E70" s="174"/>
      <c r="G70" s="19">
        <f>+G25-G67</f>
        <v>-681913.55150406808</v>
      </c>
      <c r="H70" s="174"/>
      <c r="J70" s="19">
        <f>+J25-J67</f>
        <v>-903205.72653414309</v>
      </c>
      <c r="M70" s="19">
        <f>+M25-M67</f>
        <v>-1250511.5988208354</v>
      </c>
      <c r="P70" s="177"/>
    </row>
    <row r="71" spans="1:16" ht="25.2" customHeight="1" x14ac:dyDescent="0.25">
      <c r="A71" s="107" t="s">
        <v>69</v>
      </c>
      <c r="B71" s="107"/>
      <c r="C71" s="18"/>
    </row>
    <row r="72" spans="1:16" x14ac:dyDescent="0.25">
      <c r="A72" s="108" t="s">
        <v>70</v>
      </c>
      <c r="C72" s="18"/>
      <c r="D72" s="174"/>
    </row>
    <row r="73" spans="1:16" x14ac:dyDescent="0.25">
      <c r="A73" s="108" t="s">
        <v>71</v>
      </c>
      <c r="C73" s="19"/>
      <c r="D73" s="174"/>
    </row>
    <row r="74" spans="1:16" x14ac:dyDescent="0.25">
      <c r="A74" s="108" t="s">
        <v>72</v>
      </c>
      <c r="C74" s="19"/>
      <c r="D74" s="174"/>
    </row>
    <row r="75" spans="1:16" x14ac:dyDescent="0.25">
      <c r="A75" s="108" t="s">
        <v>73</v>
      </c>
      <c r="C75" s="18"/>
      <c r="D75" s="174"/>
    </row>
    <row r="76" spans="1:16" x14ac:dyDescent="0.25">
      <c r="A76" s="108" t="s">
        <v>73</v>
      </c>
      <c r="C76" s="19"/>
    </row>
    <row r="77" spans="1:16" x14ac:dyDescent="0.25">
      <c r="A77" s="108" t="s">
        <v>73</v>
      </c>
      <c r="C77" s="18"/>
    </row>
    <row r="78" spans="1:16" ht="25.2" customHeight="1" x14ac:dyDescent="0.25">
      <c r="A78" s="106" t="s">
        <v>74</v>
      </c>
      <c r="B78" s="106"/>
      <c r="D78" s="174"/>
    </row>
    <row r="79" spans="1:16" x14ac:dyDescent="0.25">
      <c r="A79" s="108" t="s">
        <v>75</v>
      </c>
    </row>
    <row r="80" spans="1:16" ht="45.75" customHeight="1" thickBot="1" x14ac:dyDescent="0.3">
      <c r="A80" s="109" t="s">
        <v>76</v>
      </c>
      <c r="B80" s="109"/>
      <c r="C80" s="90">
        <f>SUM(C70:C79)</f>
        <v>-167830.98799999803</v>
      </c>
      <c r="D80" s="90">
        <f>SUM(D70:D79)</f>
        <v>-252677.58159736916</v>
      </c>
      <c r="G80" s="90">
        <f>SUM(G70:G79)</f>
        <v>-681913.55150406808</v>
      </c>
      <c r="J80" s="90">
        <f>SUM(J70:J79)</f>
        <v>-903205.72653414309</v>
      </c>
      <c r="M80" s="90">
        <f>SUM(M70:M79)</f>
        <v>-1250511.5988208354</v>
      </c>
    </row>
    <row r="81" spans="1:4" ht="14.4" thickTop="1" x14ac:dyDescent="0.25"/>
    <row r="82" spans="1:4" x14ac:dyDescent="0.25">
      <c r="A82" s="110" t="s">
        <v>77</v>
      </c>
      <c r="B82" s="110"/>
      <c r="D82" s="174"/>
    </row>
    <row r="83" spans="1:4" x14ac:dyDescent="0.25">
      <c r="A83" s="108" t="s">
        <v>78</v>
      </c>
      <c r="D83" s="174"/>
    </row>
    <row r="84" spans="1:4" x14ac:dyDescent="0.25">
      <c r="A84" s="108" t="s">
        <v>79</v>
      </c>
      <c r="D84" s="174"/>
    </row>
    <row r="85" spans="1:4" x14ac:dyDescent="0.25">
      <c r="A85" s="108" t="s">
        <v>80</v>
      </c>
      <c r="D85" s="152"/>
    </row>
    <row r="86" spans="1:4" x14ac:dyDescent="0.25">
      <c r="C86" s="152"/>
      <c r="D86" s="174"/>
    </row>
    <row r="87" spans="1:4" x14ac:dyDescent="0.25">
      <c r="D87" s="174"/>
    </row>
    <row r="88" spans="1:4" x14ac:dyDescent="0.25">
      <c r="A88" s="110" t="s">
        <v>81</v>
      </c>
      <c r="B88" s="110"/>
      <c r="D88" s="174"/>
    </row>
    <row r="89" spans="1:4" x14ac:dyDescent="0.25">
      <c r="D89" s="174"/>
    </row>
    <row r="90" spans="1:4" x14ac:dyDescent="0.25">
      <c r="A90" s="108" t="s">
        <v>82</v>
      </c>
      <c r="C90" s="19"/>
      <c r="D90" s="174"/>
    </row>
    <row r="91" spans="1:4" x14ac:dyDescent="0.25">
      <c r="A91" s="108" t="s">
        <v>83</v>
      </c>
      <c r="C91" s="178"/>
      <c r="D91" s="174"/>
    </row>
    <row r="92" spans="1:4" x14ac:dyDescent="0.25">
      <c r="A92" s="108" t="s">
        <v>43</v>
      </c>
      <c r="D92" s="174"/>
    </row>
    <row r="93" spans="1:4" x14ac:dyDescent="0.25">
      <c r="D93" s="174"/>
    </row>
    <row r="94" spans="1:4" x14ac:dyDescent="0.25">
      <c r="A94" s="108" t="s">
        <v>84</v>
      </c>
      <c r="D94" s="174"/>
    </row>
    <row r="95" spans="1:4" x14ac:dyDescent="0.25">
      <c r="A95" s="108" t="s">
        <v>85</v>
      </c>
      <c r="D95" s="152"/>
    </row>
    <row r="96" spans="1:4" x14ac:dyDescent="0.25">
      <c r="A96" s="102" t="s">
        <v>47</v>
      </c>
      <c r="B96" s="102"/>
      <c r="C96" s="152"/>
      <c r="D96" s="174"/>
    </row>
    <row r="97" spans="1:4" x14ac:dyDescent="0.25">
      <c r="C97" s="152"/>
      <c r="D97" s="174"/>
    </row>
    <row r="98" spans="1:4" x14ac:dyDescent="0.25">
      <c r="A98" s="108" t="s">
        <v>86</v>
      </c>
      <c r="D98" s="174"/>
    </row>
    <row r="99" spans="1:4" x14ac:dyDescent="0.25">
      <c r="A99" s="108" t="s">
        <v>87</v>
      </c>
      <c r="D99" s="174"/>
    </row>
    <row r="100" spans="1:4" x14ac:dyDescent="0.25">
      <c r="A100" s="108" t="s">
        <v>88</v>
      </c>
      <c r="D100" s="152"/>
    </row>
    <row r="101" spans="1:4" x14ac:dyDescent="0.25">
      <c r="A101" s="108" t="s">
        <v>89</v>
      </c>
      <c r="D101" s="174"/>
    </row>
    <row r="102" spans="1:4" x14ac:dyDescent="0.25">
      <c r="A102" s="108" t="s">
        <v>90</v>
      </c>
      <c r="C102" s="152"/>
      <c r="D102" s="174"/>
    </row>
    <row r="103" spans="1:4" x14ac:dyDescent="0.25">
      <c r="D103" s="174"/>
    </row>
    <row r="104" spans="1:4" x14ac:dyDescent="0.25">
      <c r="A104" s="108" t="s">
        <v>56</v>
      </c>
      <c r="D104" s="174"/>
    </row>
    <row r="105" spans="1:4" x14ac:dyDescent="0.25">
      <c r="D105" s="174"/>
    </row>
    <row r="106" spans="1:4" x14ac:dyDescent="0.25">
      <c r="A106" s="108" t="s">
        <v>91</v>
      </c>
      <c r="C106" s="152"/>
      <c r="D106" s="152"/>
    </row>
    <row r="107" spans="1:4" x14ac:dyDescent="0.25">
      <c r="A107" s="108" t="s">
        <v>92</v>
      </c>
      <c r="D107" s="174"/>
    </row>
    <row r="108" spans="1:4" x14ac:dyDescent="0.25">
      <c r="D108" s="174"/>
    </row>
    <row r="109" spans="1:4" x14ac:dyDescent="0.25">
      <c r="A109" s="108" t="s">
        <v>62</v>
      </c>
      <c r="D109" s="174"/>
    </row>
    <row r="110" spans="1:4" x14ac:dyDescent="0.25">
      <c r="D110" s="174"/>
    </row>
    <row r="111" spans="1:4" x14ac:dyDescent="0.25">
      <c r="A111" s="108" t="s">
        <v>93</v>
      </c>
      <c r="D111" s="174"/>
    </row>
    <row r="112" spans="1:4" x14ac:dyDescent="0.25">
      <c r="A112" s="108" t="s">
        <v>94</v>
      </c>
      <c r="D112" s="152"/>
    </row>
    <row r="114" spans="1:4" x14ac:dyDescent="0.25">
      <c r="A114" s="108" t="s">
        <v>52</v>
      </c>
      <c r="C114" s="152"/>
    </row>
    <row r="116" spans="1:4" x14ac:dyDescent="0.25">
      <c r="A116" s="111" t="s">
        <v>77</v>
      </c>
      <c r="B116" s="111"/>
    </row>
    <row r="117" spans="1:4" x14ac:dyDescent="0.25">
      <c r="A117" s="112" t="s">
        <v>95</v>
      </c>
      <c r="B117" s="112"/>
      <c r="C117" s="104"/>
      <c r="D117" s="174"/>
    </row>
    <row r="118" spans="1:4" x14ac:dyDescent="0.25">
      <c r="A118" s="112" t="s">
        <v>96</v>
      </c>
      <c r="B118" s="112"/>
      <c r="C118" s="104"/>
      <c r="D118" s="174"/>
    </row>
    <row r="119" spans="1:4" x14ac:dyDescent="0.25">
      <c r="A119" s="113" t="s">
        <v>27</v>
      </c>
      <c r="B119" s="113"/>
      <c r="C119" s="104"/>
      <c r="D119" s="152"/>
    </row>
    <row r="120" spans="1:4" x14ac:dyDescent="0.25">
      <c r="A120" s="112"/>
      <c r="B120" s="112"/>
      <c r="C120" s="104"/>
      <c r="D120" s="174"/>
    </row>
    <row r="121" spans="1:4" x14ac:dyDescent="0.25">
      <c r="A121" s="111" t="s">
        <v>97</v>
      </c>
      <c r="B121" s="111"/>
      <c r="C121" s="104"/>
      <c r="D121" s="174"/>
    </row>
    <row r="122" spans="1:4" x14ac:dyDescent="0.25">
      <c r="A122" s="112" t="s">
        <v>98</v>
      </c>
      <c r="B122" s="112"/>
      <c r="C122" s="104"/>
      <c r="D122" s="174"/>
    </row>
    <row r="123" spans="1:4" x14ac:dyDescent="0.25">
      <c r="A123" s="112" t="s">
        <v>88</v>
      </c>
      <c r="B123" s="112"/>
      <c r="C123" s="104"/>
      <c r="D123" s="174"/>
    </row>
    <row r="124" spans="1:4" x14ac:dyDescent="0.25">
      <c r="A124" s="112" t="s">
        <v>86</v>
      </c>
      <c r="B124" s="112"/>
      <c r="C124" s="104"/>
      <c r="D124" s="174"/>
    </row>
    <row r="125" spans="1:4" x14ac:dyDescent="0.25">
      <c r="A125" s="112" t="s">
        <v>99</v>
      </c>
      <c r="B125" s="112"/>
      <c r="D125" s="174"/>
    </row>
    <row r="126" spans="1:4" x14ac:dyDescent="0.25">
      <c r="A126" s="112" t="s">
        <v>100</v>
      </c>
      <c r="B126" s="112"/>
      <c r="D126" s="174"/>
    </row>
    <row r="127" spans="1:4" x14ac:dyDescent="0.25">
      <c r="A127" s="112" t="s">
        <v>101</v>
      </c>
      <c r="B127" s="112"/>
      <c r="D127" s="174"/>
    </row>
    <row r="128" spans="1:4" x14ac:dyDescent="0.25">
      <c r="A128" s="112"/>
      <c r="B128" s="112"/>
      <c r="D128" s="174"/>
    </row>
    <row r="129" spans="1:4" x14ac:dyDescent="0.25">
      <c r="A129" s="109" t="s">
        <v>102</v>
      </c>
      <c r="B129" s="109"/>
      <c r="D129" s="152"/>
    </row>
    <row r="130" spans="1:4" x14ac:dyDescent="0.25">
      <c r="A130" s="112"/>
      <c r="B130" s="112"/>
      <c r="D130" s="174"/>
    </row>
    <row r="131" spans="1:4" x14ac:dyDescent="0.25">
      <c r="A131" s="112" t="s">
        <v>103</v>
      </c>
      <c r="B131" s="112"/>
      <c r="D131" s="174"/>
    </row>
    <row r="132" spans="1:4" x14ac:dyDescent="0.25">
      <c r="A132" s="112" t="s">
        <v>85</v>
      </c>
      <c r="B132" s="112"/>
      <c r="D132" s="174"/>
    </row>
    <row r="133" spans="1:4" x14ac:dyDescent="0.25">
      <c r="A133" s="112"/>
      <c r="B133" s="112"/>
      <c r="D133" s="174"/>
    </row>
    <row r="134" spans="1:4" x14ac:dyDescent="0.25">
      <c r="A134" s="106" t="s">
        <v>47</v>
      </c>
      <c r="B134" s="106"/>
      <c r="D134" s="152"/>
    </row>
    <row r="135" spans="1:4" x14ac:dyDescent="0.25">
      <c r="A135" s="112"/>
      <c r="B135" s="112"/>
      <c r="D135" s="174"/>
    </row>
    <row r="136" spans="1:4" x14ac:dyDescent="0.25">
      <c r="A136" s="112" t="s">
        <v>104</v>
      </c>
      <c r="B136" s="112"/>
      <c r="D136" s="174"/>
    </row>
    <row r="137" spans="1:4" x14ac:dyDescent="0.25">
      <c r="A137" s="112" t="s">
        <v>105</v>
      </c>
      <c r="B137" s="112"/>
      <c r="D137" s="174"/>
    </row>
    <row r="138" spans="1:4" x14ac:dyDescent="0.25">
      <c r="A138" s="112" t="s">
        <v>106</v>
      </c>
      <c r="B138" s="112"/>
      <c r="D138" s="174"/>
    </row>
    <row r="139" spans="1:4" x14ac:dyDescent="0.25">
      <c r="A139" s="112"/>
      <c r="B139" s="112"/>
      <c r="D139" s="174"/>
    </row>
    <row r="140" spans="1:4" x14ac:dyDescent="0.25">
      <c r="A140" s="106" t="s">
        <v>49</v>
      </c>
      <c r="B140" s="106"/>
      <c r="D140" s="152"/>
    </row>
    <row r="141" spans="1:4" x14ac:dyDescent="0.25">
      <c r="A141" s="112"/>
      <c r="B141" s="112"/>
      <c r="D141" s="174"/>
    </row>
    <row r="142" spans="1:4" x14ac:dyDescent="0.25">
      <c r="A142" s="112" t="s">
        <v>107</v>
      </c>
      <c r="B142" s="112"/>
      <c r="D142" s="174"/>
    </row>
    <row r="143" spans="1:4" x14ac:dyDescent="0.25">
      <c r="A143" s="112" t="s">
        <v>108</v>
      </c>
      <c r="B143" s="112"/>
      <c r="D143" s="174"/>
    </row>
    <row r="144" spans="1:4" x14ac:dyDescent="0.25">
      <c r="A144" s="112" t="s">
        <v>94</v>
      </c>
      <c r="B144" s="112"/>
      <c r="D144" s="174"/>
    </row>
    <row r="145" spans="1:4" x14ac:dyDescent="0.25">
      <c r="A145" s="112"/>
      <c r="B145" s="112"/>
      <c r="D145" s="174"/>
    </row>
    <row r="146" spans="1:4" x14ac:dyDescent="0.25">
      <c r="A146" s="106" t="s">
        <v>52</v>
      </c>
      <c r="B146" s="106"/>
      <c r="D146" s="15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5:AC196"/>
  <sheetViews>
    <sheetView topLeftCell="A5" workbookViewId="0">
      <pane xSplit="1" ySplit="13" topLeftCell="P18" activePane="bottomRight" state="frozen"/>
      <selection activeCell="A5" sqref="A5"/>
      <selection pane="topRight" activeCell="B5" sqref="B5"/>
      <selection pane="bottomLeft" activeCell="A18" sqref="A18"/>
      <selection pane="bottomRight" activeCell="A81" sqref="A81:XFD81"/>
    </sheetView>
  </sheetViews>
  <sheetFormatPr defaultColWidth="9.33203125" defaultRowHeight="13.8" outlineLevelRow="1" outlineLevelCol="1" x14ac:dyDescent="0.25"/>
  <cols>
    <col min="1" max="1" width="60.6640625" style="8" bestFit="1" customWidth="1"/>
    <col min="2" max="2" width="14.44140625" style="8" hidden="1" customWidth="1" outlineLevel="1"/>
    <col min="3" max="4" width="13.33203125" style="8" hidden="1" customWidth="1" outlineLevel="1"/>
    <col min="5" max="5" width="10.6640625" style="8" hidden="1" customWidth="1" outlineLevel="1"/>
    <col min="6" max="6" width="9.6640625" style="8" hidden="1" customWidth="1" outlineLevel="1"/>
    <col min="7" max="7" width="9.44140625" style="8" hidden="1" customWidth="1" outlineLevel="1"/>
    <col min="8" max="8" width="12.6640625" style="8" hidden="1" customWidth="1" outlineLevel="1"/>
    <col min="9" max="9" width="14.6640625" style="8" bestFit="1" customWidth="1" collapsed="1"/>
    <col min="10" max="11" width="8" style="8" bestFit="1" customWidth="1"/>
    <col min="12" max="12" width="6" style="8" bestFit="1" customWidth="1"/>
    <col min="13" max="13" width="14.6640625" style="8" bestFit="1" customWidth="1"/>
    <col min="14" max="15" width="8" style="8" bestFit="1" customWidth="1"/>
    <col min="16" max="16" width="6" style="8" bestFit="1" customWidth="1"/>
    <col min="17" max="17" width="14.33203125" style="8" bestFit="1" customWidth="1"/>
    <col min="18" max="19" width="8" style="8" bestFit="1" customWidth="1"/>
    <col min="20" max="20" width="6" style="8" bestFit="1" customWidth="1"/>
    <col min="21" max="21" width="14.6640625" style="8" bestFit="1" customWidth="1"/>
    <col min="22" max="23" width="8" style="8" bestFit="1" customWidth="1"/>
    <col min="24" max="24" width="6" style="8" bestFit="1" customWidth="1"/>
    <col min="25" max="25" width="14.6640625" style="8" bestFit="1" customWidth="1"/>
    <col min="26" max="27" width="8" style="8" bestFit="1" customWidth="1"/>
    <col min="28" max="28" width="6" style="8" bestFit="1" customWidth="1"/>
    <col min="29" max="29" width="14.6640625" style="8" bestFit="1" customWidth="1"/>
    <col min="30" max="16384" width="9.33203125" style="8"/>
  </cols>
  <sheetData>
    <row r="5" spans="1:29" ht="41.4" x14ac:dyDescent="0.25">
      <c r="A5" s="37"/>
      <c r="B5" s="38" t="s">
        <v>196</v>
      </c>
      <c r="C5" s="39" t="s">
        <v>109</v>
      </c>
      <c r="D5" s="39" t="s">
        <v>109</v>
      </c>
      <c r="E5" s="39" t="s">
        <v>109</v>
      </c>
      <c r="F5" s="39" t="s">
        <v>109</v>
      </c>
      <c r="G5" s="39" t="s">
        <v>109</v>
      </c>
      <c r="H5" s="39" t="s">
        <v>109</v>
      </c>
      <c r="I5" s="38" t="s">
        <v>197</v>
      </c>
      <c r="J5" s="40" t="s">
        <v>110</v>
      </c>
      <c r="K5" s="41" t="s">
        <v>111</v>
      </c>
      <c r="L5" s="41" t="s">
        <v>112</v>
      </c>
      <c r="M5" s="38" t="s">
        <v>198</v>
      </c>
      <c r="N5" s="40" t="s">
        <v>113</v>
      </c>
      <c r="O5" s="41" t="s">
        <v>114</v>
      </c>
      <c r="P5" s="41" t="s">
        <v>115</v>
      </c>
      <c r="Q5" s="38" t="s">
        <v>199</v>
      </c>
      <c r="R5" s="40" t="s">
        <v>116</v>
      </c>
      <c r="S5" s="41" t="s">
        <v>117</v>
      </c>
      <c r="T5" s="41" t="s">
        <v>118</v>
      </c>
      <c r="U5" s="38" t="s">
        <v>200</v>
      </c>
      <c r="V5" s="40" t="s">
        <v>119</v>
      </c>
      <c r="W5" s="41" t="s">
        <v>120</v>
      </c>
      <c r="X5" s="41" t="s">
        <v>121</v>
      </c>
      <c r="Y5" s="38" t="s">
        <v>201</v>
      </c>
      <c r="Z5" s="40" t="s">
        <v>122</v>
      </c>
      <c r="AA5" s="41" t="s">
        <v>123</v>
      </c>
      <c r="AB5" s="41" t="s">
        <v>124</v>
      </c>
      <c r="AC5" s="38" t="s">
        <v>202</v>
      </c>
    </row>
    <row r="6" spans="1:29" ht="27.6" hidden="1" outlineLevel="1" x14ac:dyDescent="0.25">
      <c r="A6" s="37"/>
      <c r="B6" s="37"/>
      <c r="C6" s="42" t="s">
        <v>125</v>
      </c>
      <c r="D6" s="42" t="s">
        <v>126</v>
      </c>
      <c r="E6" s="42" t="s">
        <v>127</v>
      </c>
      <c r="F6" s="43" t="s">
        <v>158</v>
      </c>
      <c r="G6" s="42" t="s">
        <v>129</v>
      </c>
      <c r="H6" s="42" t="s">
        <v>130</v>
      </c>
    </row>
    <row r="7" spans="1:29" hidden="1" outlineLevel="1" x14ac:dyDescent="0.25">
      <c r="A7" s="37" t="s">
        <v>131</v>
      </c>
      <c r="B7" s="37"/>
      <c r="C7" s="44"/>
      <c r="D7" s="44"/>
      <c r="E7" s="44"/>
      <c r="F7" s="44"/>
      <c r="G7" s="44"/>
      <c r="H7" s="44"/>
    </row>
    <row r="8" spans="1:29" hidden="1" outlineLevel="1" x14ac:dyDescent="0.25">
      <c r="A8" s="37"/>
      <c r="B8" s="37"/>
      <c r="C8" s="44"/>
      <c r="D8" s="44"/>
      <c r="E8" s="44"/>
      <c r="F8" s="44"/>
      <c r="G8" s="44"/>
      <c r="H8" s="44"/>
    </row>
    <row r="9" spans="1:29" hidden="1" outlineLevel="1" x14ac:dyDescent="0.25">
      <c r="A9" s="45" t="s">
        <v>77</v>
      </c>
      <c r="B9" s="45"/>
      <c r="C9" s="46">
        <v>4137140.7500000005</v>
      </c>
      <c r="D9" s="46"/>
      <c r="E9" s="46">
        <v>292171</v>
      </c>
      <c r="F9" s="46">
        <v>209271</v>
      </c>
      <c r="G9" s="46">
        <v>223796.93999999997</v>
      </c>
      <c r="H9" s="46">
        <f>SUM(C9:G9)</f>
        <v>4862379.6900000004</v>
      </c>
    </row>
    <row r="10" spans="1:29" hidden="1" outlineLevel="1" x14ac:dyDescent="0.25">
      <c r="A10" s="45"/>
      <c r="B10" s="45"/>
      <c r="C10" s="46"/>
      <c r="D10" s="46"/>
      <c r="E10" s="46"/>
      <c r="F10" s="46"/>
      <c r="G10" s="46"/>
      <c r="H10" s="46"/>
    </row>
    <row r="11" spans="1:29" hidden="1" outlineLevel="1" x14ac:dyDescent="0.25">
      <c r="A11" s="45" t="s">
        <v>132</v>
      </c>
      <c r="B11" s="45"/>
      <c r="C11" s="46">
        <v>3313783.1404230767</v>
      </c>
      <c r="D11" s="46"/>
      <c r="E11" s="46"/>
      <c r="F11" s="46">
        <v>205437</v>
      </c>
      <c r="G11" s="46">
        <v>166582.27230769233</v>
      </c>
      <c r="H11" s="46">
        <f>SUM(C11:G11)</f>
        <v>3685802.4127307693</v>
      </c>
    </row>
    <row r="12" spans="1:29" hidden="1" outlineLevel="1" x14ac:dyDescent="0.25">
      <c r="A12" s="45" t="s">
        <v>133</v>
      </c>
      <c r="B12" s="45"/>
      <c r="C12" s="46"/>
      <c r="D12" s="47"/>
      <c r="E12" s="47"/>
      <c r="F12" s="47"/>
      <c r="G12" s="47"/>
      <c r="H12" s="46">
        <f>SUM(C12:G12)</f>
        <v>0</v>
      </c>
    </row>
    <row r="13" spans="1:29" hidden="1" outlineLevel="1" x14ac:dyDescent="0.25">
      <c r="A13" s="45" t="s">
        <v>134</v>
      </c>
      <c r="B13" s="45"/>
      <c r="C13" s="47"/>
      <c r="D13" s="46"/>
      <c r="E13" s="46"/>
      <c r="F13" s="46"/>
      <c r="G13" s="46"/>
      <c r="H13" s="46">
        <f>SUM(C13:G13)</f>
        <v>0</v>
      </c>
    </row>
    <row r="14" spans="1:29" hidden="1" outlineLevel="1" x14ac:dyDescent="0.25">
      <c r="A14" s="45" t="s">
        <v>135</v>
      </c>
      <c r="B14" s="45"/>
      <c r="C14" s="46">
        <v>823357.75</v>
      </c>
      <c r="D14" s="46"/>
      <c r="E14" s="46">
        <v>292171.25</v>
      </c>
      <c r="F14" s="46">
        <v>3834</v>
      </c>
      <c r="G14" s="46">
        <v>20171.079999999994</v>
      </c>
      <c r="H14" s="46">
        <f>SUM(C14:G14)</f>
        <v>1139534.08</v>
      </c>
    </row>
    <row r="15" spans="1:29" hidden="1" outlineLevel="1" x14ac:dyDescent="0.25">
      <c r="A15" s="45" t="s">
        <v>136</v>
      </c>
      <c r="B15" s="45"/>
      <c r="C15" s="46">
        <f t="shared" ref="C15:H15" si="0">SUM(C11:C14)</f>
        <v>4137140.8904230767</v>
      </c>
      <c r="D15" s="46">
        <f t="shared" si="0"/>
        <v>0</v>
      </c>
      <c r="E15" s="46">
        <f t="shared" si="0"/>
        <v>292171.25</v>
      </c>
      <c r="F15" s="46">
        <f t="shared" si="0"/>
        <v>209271</v>
      </c>
      <c r="G15" s="46">
        <f t="shared" si="0"/>
        <v>186753.35230769232</v>
      </c>
      <c r="H15" s="46">
        <f t="shared" si="0"/>
        <v>4825336.4927307693</v>
      </c>
    </row>
    <row r="16" spans="1:29" hidden="1" outlineLevel="1" x14ac:dyDescent="0.25">
      <c r="A16" s="45"/>
      <c r="B16" s="45"/>
      <c r="C16" s="46"/>
      <c r="D16" s="46"/>
      <c r="E16" s="46"/>
      <c r="F16" s="46"/>
      <c r="G16" s="46"/>
      <c r="H16" s="46"/>
    </row>
    <row r="17" spans="1:29" hidden="1" outlineLevel="1" x14ac:dyDescent="0.25">
      <c r="A17" s="45" t="s">
        <v>137</v>
      </c>
      <c r="B17" s="45"/>
      <c r="C17" s="46">
        <f t="shared" ref="C17:H17" si="1">C9-C15</f>
        <v>-0.14042307622730732</v>
      </c>
      <c r="D17" s="46">
        <f t="shared" si="1"/>
        <v>0</v>
      </c>
      <c r="E17" s="46">
        <f t="shared" si="1"/>
        <v>-0.25</v>
      </c>
      <c r="F17" s="46">
        <f t="shared" si="1"/>
        <v>0</v>
      </c>
      <c r="G17" s="46">
        <f t="shared" si="1"/>
        <v>37043.587692307658</v>
      </c>
      <c r="H17" s="46">
        <f t="shared" si="1"/>
        <v>37043.197269231081</v>
      </c>
    </row>
    <row r="18" spans="1:29" hidden="1" outlineLevel="1" collapsed="1" x14ac:dyDescent="0.25"/>
    <row r="19" spans="1:29" collapsed="1" x14ac:dyDescent="0.25"/>
    <row r="20" spans="1:29" x14ac:dyDescent="0.25">
      <c r="A20" s="48" t="s">
        <v>16</v>
      </c>
      <c r="J20" s="50">
        <v>1</v>
      </c>
      <c r="K20" s="51"/>
      <c r="L20" s="51"/>
    </row>
    <row r="21" spans="1:29" x14ac:dyDescent="0.25">
      <c r="A21" s="12" t="s">
        <v>17</v>
      </c>
      <c r="B21" s="49"/>
      <c r="I21" s="49">
        <v>4391024</v>
      </c>
      <c r="J21" s="50">
        <v>1</v>
      </c>
      <c r="M21" s="52">
        <f>I21*J21+K21</f>
        <v>4391024</v>
      </c>
      <c r="N21" s="50">
        <v>1</v>
      </c>
      <c r="O21" s="51"/>
      <c r="P21" s="51"/>
      <c r="Q21" s="52">
        <f>M21*N21+O21</f>
        <v>4391024</v>
      </c>
      <c r="R21" s="50">
        <v>1</v>
      </c>
      <c r="S21" s="51"/>
      <c r="T21" s="51"/>
      <c r="U21" s="52">
        <f>Q21*R21+S21</f>
        <v>4391024</v>
      </c>
      <c r="V21" s="50">
        <v>1.01</v>
      </c>
      <c r="W21" s="51"/>
      <c r="X21" s="51"/>
      <c r="Y21" s="52">
        <f>U21*V21+W21</f>
        <v>4434934.24</v>
      </c>
      <c r="Z21" s="50">
        <v>1.01</v>
      </c>
      <c r="AA21" s="51"/>
      <c r="AB21" s="51"/>
      <c r="AC21" s="52">
        <f>Y21*Z21+AA21</f>
        <v>4479283.5824000007</v>
      </c>
    </row>
    <row r="22" spans="1:29" x14ac:dyDescent="0.25">
      <c r="A22" s="12" t="s">
        <v>18</v>
      </c>
      <c r="B22" s="53"/>
      <c r="I22" s="53"/>
      <c r="J22" s="50"/>
      <c r="N22" s="50"/>
      <c r="R22" s="50"/>
      <c r="V22" s="50"/>
      <c r="Z22" s="50"/>
    </row>
    <row r="23" spans="1:29" x14ac:dyDescent="0.25">
      <c r="A23" s="12" t="s">
        <v>19</v>
      </c>
      <c r="B23" s="53"/>
      <c r="I23" s="53"/>
      <c r="J23" s="50"/>
      <c r="N23" s="50"/>
      <c r="R23" s="50"/>
      <c r="V23" s="50"/>
      <c r="Z23" s="50"/>
    </row>
    <row r="24" spans="1:29" x14ac:dyDescent="0.25">
      <c r="A24" s="8" t="s">
        <v>20</v>
      </c>
      <c r="B24" s="11"/>
      <c r="I24" s="11">
        <v>207845</v>
      </c>
      <c r="J24" s="50">
        <v>1</v>
      </c>
      <c r="M24" s="52">
        <f>I24*J24+K24</f>
        <v>207845</v>
      </c>
      <c r="N24" s="50">
        <v>1</v>
      </c>
      <c r="Q24" s="52">
        <f>M24*N24+O24</f>
        <v>207845</v>
      </c>
      <c r="R24" s="50">
        <v>1</v>
      </c>
      <c r="U24" s="52">
        <f>Q24*R24+S24</f>
        <v>207845</v>
      </c>
      <c r="V24" s="50">
        <v>1.01</v>
      </c>
      <c r="Y24" s="52">
        <f>U24*V24+W24</f>
        <v>209923.45</v>
      </c>
      <c r="Z24" s="50">
        <v>1.01</v>
      </c>
      <c r="AC24" s="52">
        <f>Y24*Z24+AA24</f>
        <v>212022.6845</v>
      </c>
    </row>
    <row r="25" spans="1:29" x14ac:dyDescent="0.25">
      <c r="A25" s="8" t="s">
        <v>21</v>
      </c>
      <c r="B25" s="11"/>
      <c r="I25" s="11">
        <v>752948</v>
      </c>
      <c r="J25" s="50">
        <f>695000/I25</f>
        <v>0.92303850996350345</v>
      </c>
      <c r="K25" s="51"/>
      <c r="L25" s="51"/>
      <c r="M25" s="52">
        <f>I25*J25+K25</f>
        <v>695000</v>
      </c>
      <c r="N25" s="50">
        <v>1</v>
      </c>
      <c r="O25" s="51"/>
      <c r="P25" s="51"/>
      <c r="Q25" s="52">
        <f>M25*N25+O25</f>
        <v>695000</v>
      </c>
      <c r="R25" s="50">
        <v>1</v>
      </c>
      <c r="S25" s="51"/>
      <c r="T25" s="51"/>
      <c r="U25" s="52">
        <f>Q25*R25+S25</f>
        <v>695000</v>
      </c>
      <c r="V25" s="50">
        <v>1.01</v>
      </c>
      <c r="W25" s="51"/>
      <c r="X25" s="51"/>
      <c r="Y25" s="52">
        <f>U25*V25+W25</f>
        <v>701950</v>
      </c>
      <c r="Z25" s="50">
        <v>1.01</v>
      </c>
      <c r="AA25" s="51"/>
      <c r="AB25" s="51"/>
      <c r="AC25" s="52">
        <f>Y25*Z25+AA25</f>
        <v>708969.5</v>
      </c>
    </row>
    <row r="26" spans="1:29" x14ac:dyDescent="0.25">
      <c r="A26" s="8" t="s">
        <v>22</v>
      </c>
      <c r="B26" s="11"/>
      <c r="I26" s="11"/>
      <c r="J26" s="50"/>
      <c r="N26" s="50"/>
      <c r="R26" s="50"/>
      <c r="V26" s="50"/>
      <c r="Z26" s="50"/>
    </row>
    <row r="27" spans="1:29" x14ac:dyDescent="0.25">
      <c r="A27" s="48" t="s">
        <v>23</v>
      </c>
      <c r="B27" s="49"/>
      <c r="I27" s="49"/>
      <c r="J27" s="50"/>
      <c r="N27" s="50"/>
      <c r="R27" s="50"/>
      <c r="V27" s="50"/>
      <c r="Z27" s="50"/>
    </row>
    <row r="28" spans="1:29" x14ac:dyDescent="0.25">
      <c r="A28" s="21" t="s">
        <v>24</v>
      </c>
      <c r="B28" s="54">
        <f>SUM(B21:B27)</f>
        <v>0</v>
      </c>
      <c r="I28" s="54">
        <f>SUM(I21:I27)</f>
        <v>5351817</v>
      </c>
      <c r="J28" s="50">
        <f>M28/I28</f>
        <v>0.98917227550942044</v>
      </c>
      <c r="K28" s="51"/>
      <c r="L28" s="51"/>
      <c r="M28" s="54">
        <f>SUM(M21:M27)</f>
        <v>5293869</v>
      </c>
      <c r="N28" s="50">
        <f>Q28/M28</f>
        <v>1</v>
      </c>
      <c r="O28" s="51"/>
      <c r="P28" s="51"/>
      <c r="Q28" s="55">
        <f>SUM(Q21:Q27)</f>
        <v>5293869</v>
      </c>
      <c r="R28" s="50">
        <f>U28/Q28</f>
        <v>1</v>
      </c>
      <c r="S28" s="51"/>
      <c r="T28" s="51"/>
      <c r="U28" s="55">
        <f>SUM(U21:U27)</f>
        <v>5293869</v>
      </c>
      <c r="V28" s="50">
        <f>Y28/U28</f>
        <v>1.01</v>
      </c>
      <c r="W28" s="51"/>
      <c r="X28" s="51"/>
      <c r="Y28" s="55">
        <f>SUM(Y21:Y27)</f>
        <v>5346807.6900000004</v>
      </c>
      <c r="Z28" s="50">
        <f>AC28/Y28</f>
        <v>1.0100000000000002</v>
      </c>
      <c r="AA28" s="51"/>
      <c r="AB28" s="51"/>
      <c r="AC28" s="55">
        <f>SUM(AC21:AC27)</f>
        <v>5400275.7669000011</v>
      </c>
    </row>
    <row r="29" spans="1:29" x14ac:dyDescent="0.25">
      <c r="A29" s="48"/>
      <c r="B29" s="55"/>
      <c r="I29" s="55"/>
      <c r="J29" s="50"/>
      <c r="N29" s="50"/>
      <c r="R29" s="50"/>
      <c r="V29" s="50"/>
      <c r="Z29" s="50"/>
    </row>
    <row r="30" spans="1:29" x14ac:dyDescent="0.25">
      <c r="A30" s="48" t="s">
        <v>25</v>
      </c>
      <c r="B30" s="49"/>
      <c r="I30" s="49">
        <v>282612</v>
      </c>
      <c r="J30" s="50">
        <f>228636/I30</f>
        <v>0.80901023311112052</v>
      </c>
      <c r="K30" s="51"/>
      <c r="L30" s="51"/>
      <c r="M30" s="52">
        <f>I30*J30+K30</f>
        <v>228636</v>
      </c>
      <c r="N30" s="50">
        <v>1</v>
      </c>
      <c r="O30" s="51"/>
      <c r="P30" s="51"/>
      <c r="Q30" s="52">
        <f>M30*N30+O30</f>
        <v>228636</v>
      </c>
      <c r="R30" s="50">
        <v>1</v>
      </c>
      <c r="S30" s="51"/>
      <c r="T30" s="51"/>
      <c r="U30" s="52">
        <f>Q30*R30+S30</f>
        <v>228636</v>
      </c>
      <c r="V30" s="50">
        <v>1</v>
      </c>
      <c r="W30" s="51"/>
      <c r="X30" s="51"/>
      <c r="Y30" s="52">
        <f>U30*V30+W30</f>
        <v>228636</v>
      </c>
      <c r="Z30" s="50">
        <f>233232/Y30</f>
        <v>1.0201018212355009</v>
      </c>
      <c r="AA30" s="51"/>
      <c r="AB30" s="51"/>
      <c r="AC30" s="52">
        <f>Y30*Z30+AA30</f>
        <v>233231.99999999997</v>
      </c>
    </row>
    <row r="31" spans="1:29" x14ac:dyDescent="0.25">
      <c r="A31" s="48" t="s">
        <v>26</v>
      </c>
      <c r="B31" s="49"/>
      <c r="I31" s="49"/>
      <c r="J31" s="50">
        <v>1</v>
      </c>
      <c r="K31" s="51"/>
      <c r="L31" s="51"/>
      <c r="M31" s="52">
        <f>I31*J31+K31</f>
        <v>0</v>
      </c>
      <c r="N31" s="50">
        <v>1</v>
      </c>
      <c r="O31" s="51"/>
      <c r="P31" s="51"/>
      <c r="Q31" s="52">
        <f>M31*N31+O31</f>
        <v>0</v>
      </c>
      <c r="R31" s="50">
        <v>1</v>
      </c>
      <c r="S31" s="51"/>
      <c r="T31" s="51"/>
      <c r="U31" s="52">
        <f>Q31*R31+S31</f>
        <v>0</v>
      </c>
      <c r="V31" s="50">
        <v>1</v>
      </c>
      <c r="W31" s="51"/>
      <c r="X31" s="51"/>
      <c r="Y31" s="52">
        <f>U31*V31+W31</f>
        <v>0</v>
      </c>
      <c r="Z31" s="50">
        <v>1</v>
      </c>
      <c r="AA31" s="51"/>
      <c r="AB31" s="51"/>
      <c r="AC31" s="52">
        <f>Y31*Z31+AA31</f>
        <v>0</v>
      </c>
    </row>
    <row r="32" spans="1:29" x14ac:dyDescent="0.25">
      <c r="A32" s="48" t="s">
        <v>27</v>
      </c>
      <c r="B32" s="49"/>
      <c r="I32" s="49">
        <v>27500</v>
      </c>
      <c r="J32" s="50">
        <v>0</v>
      </c>
      <c r="K32" s="51"/>
      <c r="L32" s="51"/>
      <c r="M32" s="52">
        <f>I32*J32+K32</f>
        <v>0</v>
      </c>
      <c r="N32" s="50">
        <v>1</v>
      </c>
      <c r="O32" s="51"/>
      <c r="P32" s="51"/>
      <c r="Q32" s="52">
        <f>M32*N32+O32</f>
        <v>0</v>
      </c>
      <c r="R32" s="50">
        <v>1</v>
      </c>
      <c r="S32" s="51"/>
      <c r="T32" s="51"/>
      <c r="U32" s="52">
        <f>Q32*R32+S32</f>
        <v>0</v>
      </c>
      <c r="V32" s="50">
        <v>1</v>
      </c>
      <c r="W32" s="51"/>
      <c r="X32" s="51"/>
      <c r="Y32" s="52">
        <f>U32*V32+W32</f>
        <v>0</v>
      </c>
      <c r="Z32" s="50">
        <v>1</v>
      </c>
      <c r="AA32" s="51"/>
      <c r="AB32" s="51"/>
      <c r="AC32" s="52">
        <f>Y32*Z32+AA32</f>
        <v>0</v>
      </c>
    </row>
    <row r="33" spans="1:29" x14ac:dyDescent="0.25">
      <c r="A33" s="48" t="s">
        <v>28</v>
      </c>
      <c r="B33" s="49"/>
      <c r="I33" s="49"/>
      <c r="J33" s="50"/>
      <c r="N33" s="50"/>
      <c r="R33" s="50"/>
      <c r="V33" s="50"/>
      <c r="Z33" s="50"/>
    </row>
    <row r="34" spans="1:29" x14ac:dyDescent="0.25">
      <c r="A34" s="48" t="s">
        <v>29</v>
      </c>
      <c r="B34" s="49"/>
      <c r="I34" s="49"/>
      <c r="J34" s="50"/>
      <c r="N34" s="50"/>
      <c r="R34" s="50"/>
      <c r="V34" s="50"/>
      <c r="Z34" s="50"/>
    </row>
    <row r="35" spans="1:29" x14ac:dyDescent="0.25">
      <c r="A35" s="48" t="s">
        <v>30</v>
      </c>
      <c r="B35" s="49"/>
      <c r="I35" s="49"/>
      <c r="J35" s="50"/>
      <c r="N35" s="50"/>
      <c r="R35" s="50"/>
      <c r="V35" s="50"/>
      <c r="Z35" s="50"/>
    </row>
    <row r="36" spans="1:29" x14ac:dyDescent="0.25">
      <c r="A36" s="94" t="s">
        <v>31</v>
      </c>
      <c r="B36" s="95"/>
      <c r="I36" s="95">
        <v>90000</v>
      </c>
      <c r="J36" s="50">
        <v>1</v>
      </c>
      <c r="K36" s="51"/>
      <c r="L36" s="51"/>
      <c r="M36" s="49">
        <f>I36*J36+K36</f>
        <v>90000</v>
      </c>
      <c r="N36" s="50">
        <v>1</v>
      </c>
      <c r="O36" s="51"/>
      <c r="P36" s="51"/>
      <c r="Q36" s="49">
        <f>M36*N36+O36</f>
        <v>90000</v>
      </c>
      <c r="R36" s="50">
        <v>1</v>
      </c>
      <c r="S36" s="51"/>
      <c r="T36" s="51"/>
      <c r="U36" s="49">
        <f>Q36*R36+S36</f>
        <v>90000</v>
      </c>
      <c r="V36" s="50">
        <v>1</v>
      </c>
      <c r="W36" s="51"/>
      <c r="X36" s="51"/>
      <c r="Y36" s="49">
        <f>U36*V36+W36</f>
        <v>90000</v>
      </c>
      <c r="Z36" s="50">
        <v>1</v>
      </c>
      <c r="AA36" s="51"/>
      <c r="AB36" s="51"/>
      <c r="AC36" s="49">
        <f>Y36*Z36+AA36</f>
        <v>90000</v>
      </c>
    </row>
    <row r="37" spans="1:29" x14ac:dyDescent="0.25">
      <c r="A37" s="48"/>
      <c r="B37" s="55"/>
      <c r="I37" s="55"/>
      <c r="J37" s="50"/>
      <c r="N37" s="50"/>
      <c r="R37" s="50"/>
      <c r="V37" s="50"/>
      <c r="Z37" s="50"/>
    </row>
    <row r="38" spans="1:29" x14ac:dyDescent="0.25">
      <c r="A38" s="48" t="s">
        <v>32</v>
      </c>
      <c r="B38" s="55"/>
      <c r="C38" s="49">
        <v>93936</v>
      </c>
      <c r="I38" s="55"/>
      <c r="J38" s="50"/>
      <c r="N38" s="50"/>
      <c r="R38" s="50"/>
      <c r="V38" s="50"/>
      <c r="Z38" s="50"/>
    </row>
    <row r="39" spans="1:29" ht="14.4" thickBot="1" x14ac:dyDescent="0.3">
      <c r="A39" s="14" t="s">
        <v>33</v>
      </c>
      <c r="B39" s="56">
        <f>SUM(B28:B38)</f>
        <v>0</v>
      </c>
      <c r="I39" s="56">
        <f>SUM(I28:I38)</f>
        <v>5751929</v>
      </c>
      <c r="J39" s="50">
        <f>M39/I39</f>
        <v>0.97576047965821555</v>
      </c>
      <c r="K39" s="51"/>
      <c r="L39" s="51"/>
      <c r="M39" s="56">
        <f>SUM(M28:M38)</f>
        <v>5612505</v>
      </c>
      <c r="N39" s="50">
        <f>Q39/M39</f>
        <v>1</v>
      </c>
      <c r="O39" s="51"/>
      <c r="P39" s="51"/>
      <c r="Q39" s="56">
        <f>SUM(Q28:Q38)</f>
        <v>5612505</v>
      </c>
      <c r="R39" s="50">
        <f>U39/Q39</f>
        <v>1</v>
      </c>
      <c r="S39" s="51"/>
      <c r="T39" s="51"/>
      <c r="U39" s="56">
        <f>SUM(U28:U38)</f>
        <v>5612505</v>
      </c>
      <c r="V39" s="50">
        <f>Y39/U39</f>
        <v>1.0094322748932965</v>
      </c>
      <c r="W39" s="51"/>
      <c r="X39" s="51"/>
      <c r="Y39" s="56">
        <f>SUM(Y28:Y38)</f>
        <v>5665443.6900000004</v>
      </c>
      <c r="Z39" s="50">
        <f>AC39/Y39</f>
        <v>1.0102488136988261</v>
      </c>
      <c r="AA39" s="51"/>
      <c r="AB39" s="51"/>
      <c r="AC39" s="56">
        <f>SUM(AC28:AC38)</f>
        <v>5723507.7669000011</v>
      </c>
    </row>
    <row r="40" spans="1:29" ht="14.4" thickTop="1" x14ac:dyDescent="0.25">
      <c r="A40" s="48"/>
      <c r="B40" s="55"/>
      <c r="I40" s="55">
        <f>5751929-I39</f>
        <v>0</v>
      </c>
      <c r="J40" s="50"/>
      <c r="M40" s="11">
        <f>5612505-M39</f>
        <v>0</v>
      </c>
      <c r="Q40" s="11">
        <f>5612505-Q39</f>
        <v>0</v>
      </c>
      <c r="R40" s="50"/>
      <c r="U40" s="11">
        <f>5612505-U39</f>
        <v>0</v>
      </c>
      <c r="V40" s="50"/>
      <c r="Y40" s="96">
        <f>5667730.05-Y39</f>
        <v>2286.359999999404</v>
      </c>
      <c r="Z40" s="50"/>
      <c r="AC40" s="96">
        <f>5723507.3505-AC39</f>
        <v>-0.41640000138431787</v>
      </c>
    </row>
    <row r="41" spans="1:29" x14ac:dyDescent="0.25">
      <c r="A41" s="48"/>
      <c r="B41" s="55"/>
      <c r="I41" s="55"/>
      <c r="J41" s="50"/>
      <c r="N41" s="50"/>
      <c r="R41" s="50"/>
      <c r="V41" s="50"/>
      <c r="Z41" s="50"/>
    </row>
    <row r="42" spans="1:29" x14ac:dyDescent="0.25">
      <c r="A42" s="6" t="s">
        <v>34</v>
      </c>
      <c r="B42" s="57"/>
      <c r="I42" s="57"/>
      <c r="J42" s="50"/>
      <c r="N42" s="50"/>
      <c r="R42" s="50"/>
      <c r="V42" s="50"/>
      <c r="Z42" s="50"/>
    </row>
    <row r="43" spans="1:29" x14ac:dyDescent="0.25">
      <c r="A43" s="48" t="s">
        <v>35</v>
      </c>
      <c r="B43" s="49"/>
      <c r="I43" s="49"/>
      <c r="J43" s="50"/>
      <c r="N43" s="50"/>
      <c r="R43" s="50"/>
      <c r="V43" s="50"/>
      <c r="Z43" s="50"/>
    </row>
    <row r="44" spans="1:29" x14ac:dyDescent="0.25">
      <c r="A44" s="48" t="s">
        <v>36</v>
      </c>
      <c r="B44" s="49"/>
      <c r="I44" s="49">
        <v>461035</v>
      </c>
      <c r="J44" s="50">
        <f>489617/I44</f>
        <v>1.061995293198998</v>
      </c>
      <c r="M44" s="52">
        <f>I44*J44+K44</f>
        <v>489617.00000000006</v>
      </c>
      <c r="N44" s="50">
        <f>498097/M44</f>
        <v>1.017319660060823</v>
      </c>
      <c r="Q44" s="52">
        <f>M44*N44+O44</f>
        <v>498097</v>
      </c>
      <c r="R44" s="50">
        <f>505993/Q44</f>
        <v>1.0158523339831398</v>
      </c>
      <c r="U44" s="52">
        <f>Q44*R44+S44</f>
        <v>505993</v>
      </c>
      <c r="V44" s="50">
        <f>514093/U44</f>
        <v>1.0160081265946368</v>
      </c>
      <c r="Y44" s="52">
        <f>U44*V44+W44</f>
        <v>514093.00000000006</v>
      </c>
      <c r="Z44" s="50">
        <f>522253/Y44</f>
        <v>1.0158726144880399</v>
      </c>
      <c r="AC44" s="52">
        <f>Y44*Z44+AA44</f>
        <v>522252.99999999994</v>
      </c>
    </row>
    <row r="45" spans="1:29" x14ac:dyDescent="0.25">
      <c r="A45" s="48" t="s">
        <v>37</v>
      </c>
      <c r="B45" s="49"/>
      <c r="I45" s="49">
        <v>3326245</v>
      </c>
      <c r="J45" s="50">
        <f>3146337/I45</f>
        <v>0.9459125831079791</v>
      </c>
      <c r="M45" s="52">
        <f>I45*J45+K45</f>
        <v>3146337</v>
      </c>
      <c r="N45" s="50">
        <f>3258548/M45</f>
        <v>1.0356640118334433</v>
      </c>
      <c r="Q45" s="52">
        <f>M45*N45+O45</f>
        <v>3258548.0000000005</v>
      </c>
      <c r="R45" s="50">
        <f>3329067/Q45</f>
        <v>1.0216412340711261</v>
      </c>
      <c r="U45" s="52">
        <f>Q45*R45+S45</f>
        <v>3329067</v>
      </c>
      <c r="V45" s="50">
        <f>3393790/U45</f>
        <v>1.0194417835387513</v>
      </c>
      <c r="Y45" s="52">
        <f>U45*V45+W45</f>
        <v>3393790</v>
      </c>
      <c r="Z45" s="50">
        <f>3443956/Y45</f>
        <v>1.0147817042303737</v>
      </c>
      <c r="AC45" s="52">
        <f>Y45*Z45+AA45</f>
        <v>3443956</v>
      </c>
    </row>
    <row r="46" spans="1:29" x14ac:dyDescent="0.25">
      <c r="A46" s="48" t="s">
        <v>38</v>
      </c>
      <c r="B46" s="49"/>
      <c r="I46" s="49"/>
      <c r="J46" s="50"/>
      <c r="N46" s="50"/>
      <c r="R46" s="50"/>
      <c r="V46" s="50"/>
      <c r="Z46" s="50"/>
    </row>
    <row r="47" spans="1:29" x14ac:dyDescent="0.25">
      <c r="A47" s="21" t="s">
        <v>39</v>
      </c>
      <c r="B47" s="54">
        <f>SUM(B44:B46)</f>
        <v>0</v>
      </c>
      <c r="I47" s="54">
        <f>SUM(I44:I46)</f>
        <v>3787280</v>
      </c>
      <c r="J47" s="97">
        <f>M47/I47</f>
        <v>0.96004361969540142</v>
      </c>
      <c r="K47" s="54">
        <f>SUM(K44:K46)</f>
        <v>0</v>
      </c>
      <c r="L47" s="54"/>
      <c r="M47" s="54">
        <f>SUM(M44:M46)</f>
        <v>3635954</v>
      </c>
      <c r="N47" s="97">
        <f>Q47/M47</f>
        <v>1.0331937642775459</v>
      </c>
      <c r="O47" s="54">
        <f>SUM(O44:O46)</f>
        <v>0</v>
      </c>
      <c r="P47" s="54"/>
      <c r="Q47" s="54">
        <f>SUM(Q44:Q46)</f>
        <v>3756645.0000000005</v>
      </c>
      <c r="R47" s="97">
        <f>U47/Q47</f>
        <v>1.0208736785083496</v>
      </c>
      <c r="S47" s="54">
        <f>SUM(S44:S46)</f>
        <v>0</v>
      </c>
      <c r="T47" s="54"/>
      <c r="U47" s="54">
        <f>SUM(U44:U46)</f>
        <v>3835060</v>
      </c>
      <c r="V47" s="97">
        <f>Y47/U47</f>
        <v>1.018988751153828</v>
      </c>
      <c r="W47" s="54">
        <f>SUM(W44:W46)</f>
        <v>0</v>
      </c>
      <c r="X47" s="54"/>
      <c r="Y47" s="54">
        <f>SUM(Y44:Y46)</f>
        <v>3907883</v>
      </c>
      <c r="Z47" s="97">
        <f>AC47/Y47</f>
        <v>1.0149252165430747</v>
      </c>
      <c r="AA47" s="54">
        <f>SUM(AA44:AA46)</f>
        <v>0</v>
      </c>
      <c r="AB47" s="54"/>
      <c r="AC47" s="54">
        <f>SUM(AC44:AC46)</f>
        <v>3966209</v>
      </c>
    </row>
    <row r="48" spans="1:29" x14ac:dyDescent="0.25">
      <c r="A48" s="9"/>
      <c r="B48" s="55"/>
      <c r="I48" s="55"/>
      <c r="J48" s="50"/>
      <c r="K48" s="55"/>
      <c r="L48" s="55"/>
      <c r="M48" s="55"/>
      <c r="N48" s="50"/>
      <c r="O48" s="55"/>
      <c r="P48" s="55"/>
      <c r="Q48" s="55"/>
      <c r="R48" s="50"/>
      <c r="S48" s="55"/>
      <c r="T48" s="55"/>
      <c r="U48" s="55"/>
      <c r="V48" s="50"/>
      <c r="W48" s="55"/>
      <c r="X48" s="55"/>
      <c r="Y48" s="55"/>
      <c r="Z48" s="50"/>
      <c r="AA48" s="55"/>
      <c r="AB48" s="55"/>
      <c r="AC48" s="55"/>
    </row>
    <row r="49" spans="1:29" x14ac:dyDescent="0.25">
      <c r="A49" s="48" t="s">
        <v>40</v>
      </c>
      <c r="B49" s="49"/>
      <c r="C49" s="58" t="e">
        <f>B49/B50</f>
        <v>#DIV/0!</v>
      </c>
      <c r="D49" s="8" t="s">
        <v>159</v>
      </c>
      <c r="I49" s="49">
        <v>739835</v>
      </c>
      <c r="J49" s="50">
        <f>718910/I49</f>
        <v>0.97171666655402889</v>
      </c>
      <c r="M49" s="52">
        <f>I49*J49+K49</f>
        <v>718910</v>
      </c>
      <c r="N49" s="50">
        <f>747318/M49</f>
        <v>1.0395153774464119</v>
      </c>
      <c r="Q49" s="52">
        <f>M49*N49+O49</f>
        <v>747318</v>
      </c>
      <c r="R49" s="50">
        <f>765948/Q49</f>
        <v>1.024929146628343</v>
      </c>
      <c r="U49" s="52">
        <f>Q49*R49+S49</f>
        <v>765948</v>
      </c>
      <c r="V49" s="50">
        <f>783129/U49</f>
        <v>1.0224310266493286</v>
      </c>
      <c r="Y49" s="52">
        <f>U49*V49+W49</f>
        <v>783129</v>
      </c>
      <c r="Z49" s="50">
        <f>795670/Y49</f>
        <v>1.0160139644937169</v>
      </c>
      <c r="AC49" s="52">
        <f>Y49*Z49+AA49</f>
        <v>795670.00000000012</v>
      </c>
    </row>
    <row r="50" spans="1:29" x14ac:dyDescent="0.25">
      <c r="A50" s="21" t="s">
        <v>41</v>
      </c>
      <c r="B50" s="54">
        <f>SUM(B47:B49)</f>
        <v>0</v>
      </c>
      <c r="I50" s="54">
        <f>SUM(I47:I49)</f>
        <v>4527115</v>
      </c>
      <c r="J50" s="50">
        <f>M50/I50</f>
        <v>0.96195126476795934</v>
      </c>
      <c r="K50" s="54">
        <f>SUM(K47:K49)</f>
        <v>0</v>
      </c>
      <c r="L50" s="54"/>
      <c r="M50" s="54">
        <f>SUM(M47:M49)</f>
        <v>4354864</v>
      </c>
      <c r="N50" s="97">
        <f>Q50/M50</f>
        <v>1.034237349317912</v>
      </c>
      <c r="O50" s="54">
        <f>SUM(O47:O49)</f>
        <v>0</v>
      </c>
      <c r="P50" s="54"/>
      <c r="Q50" s="54">
        <f>SUM(Q47:Q49)</f>
        <v>4503963</v>
      </c>
      <c r="R50" s="97">
        <f>U50/Q50</f>
        <v>1.0215465802005923</v>
      </c>
      <c r="S50" s="54">
        <f>SUM(S47:S49)</f>
        <v>0</v>
      </c>
      <c r="T50" s="54"/>
      <c r="U50" s="54">
        <f>SUM(U47:U49)</f>
        <v>4601008</v>
      </c>
      <c r="V50" s="97">
        <f>Y50/U50</f>
        <v>1.0195618003707014</v>
      </c>
      <c r="W50" s="54">
        <f>SUM(W47:W49)</f>
        <v>0</v>
      </c>
      <c r="X50" s="54"/>
      <c r="Y50" s="54">
        <f>SUM(Y47:Y49)</f>
        <v>4691012</v>
      </c>
      <c r="Z50" s="97">
        <f>AC50/Y50</f>
        <v>1.0151069747849717</v>
      </c>
      <c r="AA50" s="54">
        <f>SUM(AA47:AA49)</f>
        <v>0</v>
      </c>
      <c r="AB50" s="54"/>
      <c r="AC50" s="54">
        <f>SUM(AC47:AC49)</f>
        <v>4761879</v>
      </c>
    </row>
    <row r="51" spans="1:29" ht="14.4" x14ac:dyDescent="0.3">
      <c r="A51" s="48"/>
      <c r="B51" s="55"/>
      <c r="I51" s="98">
        <f>4527115-I50</f>
        <v>0</v>
      </c>
      <c r="M51" s="96">
        <f>4354863.64-M50</f>
        <v>-0.36000000033527613</v>
      </c>
      <c r="Q51" s="11">
        <f>4503963-Q50</f>
        <v>0</v>
      </c>
      <c r="U51" s="11">
        <f>4601008-U50</f>
        <v>0</v>
      </c>
      <c r="Y51" s="11">
        <f>4691012-Y50</f>
        <v>0</v>
      </c>
      <c r="AC51" s="11">
        <f>4761879-AC50</f>
        <v>0</v>
      </c>
    </row>
    <row r="52" spans="1:29" x14ac:dyDescent="0.25">
      <c r="A52" s="48" t="s">
        <v>42</v>
      </c>
      <c r="B52" s="55"/>
      <c r="I52" s="55"/>
    </row>
    <row r="53" spans="1:29" x14ac:dyDescent="0.25">
      <c r="A53" s="48" t="s">
        <v>43</v>
      </c>
      <c r="B53" s="49"/>
      <c r="I53" s="49">
        <v>67500</v>
      </c>
      <c r="J53" s="50">
        <f>64000/67500</f>
        <v>0.94814814814814818</v>
      </c>
      <c r="M53" s="52">
        <f>I53*J53+K53</f>
        <v>64000</v>
      </c>
      <c r="N53" s="50">
        <v>1.02</v>
      </c>
      <c r="Q53" s="52">
        <f>M53*N53+O53</f>
        <v>65280</v>
      </c>
      <c r="R53" s="50">
        <v>1.02</v>
      </c>
      <c r="U53" s="52">
        <f>Q53*R53+S53</f>
        <v>66585.600000000006</v>
      </c>
      <c r="V53" s="50">
        <v>1.02</v>
      </c>
      <c r="Y53" s="52">
        <f>U53*V53+W53</f>
        <v>67917.312000000005</v>
      </c>
      <c r="Z53" s="50">
        <v>1.02</v>
      </c>
      <c r="AC53" s="52">
        <f>Y53*Z53+AA53</f>
        <v>69275.658240000004</v>
      </c>
    </row>
    <row r="54" spans="1:29" x14ac:dyDescent="0.25">
      <c r="A54" s="48" t="s">
        <v>44</v>
      </c>
      <c r="B54" s="49"/>
      <c r="H54" s="8">
        <v>15</v>
      </c>
      <c r="I54" s="49">
        <v>53500</v>
      </c>
      <c r="J54" s="50">
        <f>50000/53500</f>
        <v>0.93457943925233644</v>
      </c>
      <c r="M54" s="52">
        <f>I54*J54+K54</f>
        <v>50000</v>
      </c>
      <c r="N54" s="50">
        <v>1.02</v>
      </c>
      <c r="Q54" s="52">
        <f>M54*N54+O54</f>
        <v>51000</v>
      </c>
      <c r="R54" s="50">
        <v>1.02</v>
      </c>
      <c r="U54" s="52">
        <f>Q54*R54+S54</f>
        <v>52020</v>
      </c>
      <c r="V54" s="50">
        <v>1.02</v>
      </c>
      <c r="Y54" s="52">
        <f>U54*V54+W54</f>
        <v>53060.4</v>
      </c>
      <c r="Z54" s="50">
        <v>1.02</v>
      </c>
      <c r="AC54" s="52">
        <f>Y54*Z54+AA54</f>
        <v>54121.608</v>
      </c>
    </row>
    <row r="55" spans="1:29" x14ac:dyDescent="0.25">
      <c r="A55" s="21" t="s">
        <v>45</v>
      </c>
      <c r="B55" s="54">
        <f>SUM(B53:B54)</f>
        <v>0</v>
      </c>
      <c r="I55" s="54">
        <f>SUM(I53:I54)</f>
        <v>121000</v>
      </c>
      <c r="J55" s="97">
        <f>M55/I55</f>
        <v>0.94214876033057848</v>
      </c>
      <c r="K55" s="54">
        <f>SUM(K53:K54)</f>
        <v>0</v>
      </c>
      <c r="L55" s="54"/>
      <c r="M55" s="54">
        <f>SUM(M53:M54)</f>
        <v>114000</v>
      </c>
      <c r="N55" s="97">
        <f>Q55/M55</f>
        <v>1.02</v>
      </c>
      <c r="O55" s="54">
        <f>SUM(O53:O54)</f>
        <v>0</v>
      </c>
      <c r="P55" s="54"/>
      <c r="Q55" s="54">
        <f>SUM(Q53:Q54)</f>
        <v>116280</v>
      </c>
      <c r="R55" s="97">
        <f>U55/Q55</f>
        <v>1.02</v>
      </c>
      <c r="S55" s="54">
        <f>SUM(S53:S54)</f>
        <v>0</v>
      </c>
      <c r="T55" s="54"/>
      <c r="U55" s="54">
        <f>SUM(U53:U54)</f>
        <v>118605.6</v>
      </c>
      <c r="V55" s="97">
        <f>Y55/U55</f>
        <v>1.02</v>
      </c>
      <c r="W55" s="54">
        <f>SUM(W53:W54)</f>
        <v>0</v>
      </c>
      <c r="X55" s="54"/>
      <c r="Y55" s="54">
        <f>SUM(Y53:Y54)</f>
        <v>120977.712</v>
      </c>
      <c r="Z55" s="97">
        <f>AC55/Y55</f>
        <v>1.02</v>
      </c>
      <c r="AA55" s="54">
        <f>SUM(AA53:AA54)</f>
        <v>0</v>
      </c>
      <c r="AB55" s="54"/>
      <c r="AC55" s="54">
        <f>SUM(AC53:AC54)</f>
        <v>123397.26624</v>
      </c>
    </row>
    <row r="56" spans="1:29" x14ac:dyDescent="0.25">
      <c r="A56" s="48"/>
      <c r="B56" s="55"/>
      <c r="I56" s="55">
        <f>121000-I55</f>
        <v>0</v>
      </c>
      <c r="M56" s="11">
        <f>114000-M55</f>
        <v>0</v>
      </c>
      <c r="Q56" s="11">
        <f>116280-Q55</f>
        <v>0</v>
      </c>
      <c r="U56" s="96">
        <f>118605.6-U55</f>
        <v>0</v>
      </c>
      <c r="Y56" s="96">
        <f>120977.712-Y55</f>
        <v>0</v>
      </c>
      <c r="AC56" s="96">
        <f>123397.26624-AC55</f>
        <v>0</v>
      </c>
    </row>
    <row r="57" spans="1:29" x14ac:dyDescent="0.25">
      <c r="A57" s="9" t="s">
        <v>46</v>
      </c>
      <c r="B57" s="55"/>
      <c r="I57" s="55"/>
    </row>
    <row r="58" spans="1:29" x14ac:dyDescent="0.25">
      <c r="A58" s="48" t="s">
        <v>47</v>
      </c>
      <c r="B58" s="49"/>
      <c r="I58" s="49">
        <v>428349</v>
      </c>
      <c r="J58" s="50">
        <v>1.02</v>
      </c>
      <c r="M58" s="52">
        <f t="shared" ref="M58:M64" si="2">I58*J58+K58</f>
        <v>436915.98</v>
      </c>
      <c r="N58" s="50">
        <v>1.02</v>
      </c>
      <c r="Q58" s="52">
        <f t="shared" ref="Q58:Q64" si="3">M58*N58+O58</f>
        <v>445654.29959999997</v>
      </c>
      <c r="R58" s="50">
        <v>1.02</v>
      </c>
      <c r="U58" s="52">
        <f t="shared" ref="U58:U64" si="4">Q58*R58+S58</f>
        <v>454567.38559199998</v>
      </c>
      <c r="V58" s="50">
        <v>1.02</v>
      </c>
      <c r="Y58" s="52">
        <f t="shared" ref="Y58:Y64" si="5">U58*V58+W58</f>
        <v>463658.73330383998</v>
      </c>
      <c r="Z58" s="50">
        <v>1.02</v>
      </c>
      <c r="AC58" s="52">
        <f t="shared" ref="AC58:AC64" si="6">Y58*Z58+AA58</f>
        <v>472931.90796991676</v>
      </c>
    </row>
    <row r="59" spans="1:29" x14ac:dyDescent="0.25">
      <c r="A59" s="48" t="s">
        <v>48</v>
      </c>
      <c r="B59" s="49"/>
      <c r="H59" s="8">
        <v>10</v>
      </c>
      <c r="I59" s="49">
        <v>0</v>
      </c>
      <c r="J59" s="50">
        <v>1.02</v>
      </c>
      <c r="M59" s="52">
        <f t="shared" si="2"/>
        <v>0</v>
      </c>
      <c r="N59" s="50">
        <v>1.02</v>
      </c>
      <c r="Q59" s="52">
        <f t="shared" si="3"/>
        <v>0</v>
      </c>
      <c r="R59" s="50">
        <v>1.02</v>
      </c>
      <c r="U59" s="52">
        <f t="shared" si="4"/>
        <v>0</v>
      </c>
      <c r="V59" s="50">
        <v>1.02</v>
      </c>
      <c r="Y59" s="52">
        <f t="shared" si="5"/>
        <v>0</v>
      </c>
      <c r="Z59" s="50">
        <v>1.02</v>
      </c>
      <c r="AC59" s="52">
        <f t="shared" si="6"/>
        <v>0</v>
      </c>
    </row>
    <row r="60" spans="1:29" x14ac:dyDescent="0.25">
      <c r="A60" s="48" t="s">
        <v>49</v>
      </c>
      <c r="B60" s="49"/>
      <c r="H60" s="8">
        <v>11</v>
      </c>
      <c r="I60" s="49">
        <v>78000</v>
      </c>
      <c r="J60" s="50">
        <f>38000/78000</f>
        <v>0.48717948717948717</v>
      </c>
      <c r="M60" s="52">
        <f t="shared" si="2"/>
        <v>38000</v>
      </c>
      <c r="N60" s="50">
        <v>1</v>
      </c>
      <c r="Q60" s="52">
        <f t="shared" si="3"/>
        <v>38000</v>
      </c>
      <c r="R60" s="50">
        <v>1</v>
      </c>
      <c r="U60" s="52">
        <f t="shared" si="4"/>
        <v>38000</v>
      </c>
      <c r="V60" s="50">
        <v>1</v>
      </c>
      <c r="Y60" s="52">
        <f t="shared" si="5"/>
        <v>38000</v>
      </c>
      <c r="Z60" s="50">
        <v>1</v>
      </c>
      <c r="AC60" s="52">
        <f t="shared" si="6"/>
        <v>38000</v>
      </c>
    </row>
    <row r="61" spans="1:29" x14ac:dyDescent="0.25">
      <c r="A61" s="48" t="s">
        <v>50</v>
      </c>
      <c r="B61" s="49"/>
      <c r="H61" s="8">
        <v>12</v>
      </c>
      <c r="I61" s="49">
        <v>25000</v>
      </c>
      <c r="J61" s="50">
        <v>1</v>
      </c>
      <c r="M61" s="52">
        <f t="shared" si="2"/>
        <v>25000</v>
      </c>
      <c r="N61" s="50">
        <v>1</v>
      </c>
      <c r="Q61" s="52">
        <f t="shared" si="3"/>
        <v>25000</v>
      </c>
      <c r="R61" s="50">
        <v>1</v>
      </c>
      <c r="U61" s="52">
        <f t="shared" si="4"/>
        <v>25000</v>
      </c>
      <c r="V61" s="50">
        <v>1</v>
      </c>
      <c r="Y61" s="52">
        <f t="shared" si="5"/>
        <v>25000</v>
      </c>
      <c r="Z61" s="50">
        <v>1</v>
      </c>
      <c r="AC61" s="52">
        <f t="shared" si="6"/>
        <v>25000</v>
      </c>
    </row>
    <row r="62" spans="1:29" x14ac:dyDescent="0.25">
      <c r="A62" s="48" t="s">
        <v>51</v>
      </c>
      <c r="B62" s="49"/>
      <c r="H62" s="59" t="s">
        <v>138</v>
      </c>
      <c r="I62" s="49"/>
      <c r="J62" s="50">
        <v>1.02</v>
      </c>
      <c r="M62" s="52">
        <f t="shared" si="2"/>
        <v>0</v>
      </c>
      <c r="N62" s="50">
        <v>1.02</v>
      </c>
      <c r="Q62" s="52">
        <f t="shared" si="3"/>
        <v>0</v>
      </c>
      <c r="R62" s="50">
        <v>1.02</v>
      </c>
      <c r="U62" s="52">
        <f t="shared" si="4"/>
        <v>0</v>
      </c>
      <c r="V62" s="50">
        <v>1.02</v>
      </c>
      <c r="Y62" s="52">
        <f t="shared" si="5"/>
        <v>0</v>
      </c>
      <c r="Z62" s="50">
        <v>1.02</v>
      </c>
      <c r="AC62" s="52">
        <f t="shared" si="6"/>
        <v>0</v>
      </c>
    </row>
    <row r="63" spans="1:29" x14ac:dyDescent="0.25">
      <c r="A63" s="48" t="s">
        <v>52</v>
      </c>
      <c r="B63" s="49"/>
      <c r="I63" s="49">
        <v>133700</v>
      </c>
      <c r="J63" s="50">
        <f>26000/133700</f>
        <v>0.1944652206432311</v>
      </c>
      <c r="M63" s="52">
        <f t="shared" si="2"/>
        <v>26000</v>
      </c>
      <c r="N63" s="50">
        <v>1.02</v>
      </c>
      <c r="Q63" s="52">
        <f t="shared" si="3"/>
        <v>26520</v>
      </c>
      <c r="R63" s="50">
        <v>1.02</v>
      </c>
      <c r="U63" s="52">
        <f t="shared" si="4"/>
        <v>27050.400000000001</v>
      </c>
      <c r="V63" s="50">
        <v>1.02</v>
      </c>
      <c r="Y63" s="52">
        <f t="shared" si="5"/>
        <v>27591.408000000003</v>
      </c>
      <c r="Z63" s="50">
        <v>1.02</v>
      </c>
      <c r="AC63" s="52">
        <f t="shared" si="6"/>
        <v>28143.236160000004</v>
      </c>
    </row>
    <row r="64" spans="1:29" x14ac:dyDescent="0.25">
      <c r="A64" s="48" t="s">
        <v>53</v>
      </c>
      <c r="B64" s="49"/>
      <c r="I64" s="49">
        <v>97364</v>
      </c>
      <c r="J64" s="50">
        <f>91000/97364</f>
        <v>0.93463703216794713</v>
      </c>
      <c r="M64" s="52">
        <f t="shared" si="2"/>
        <v>91000</v>
      </c>
      <c r="N64" s="50">
        <v>1</v>
      </c>
      <c r="Q64" s="52">
        <f t="shared" si="3"/>
        <v>91000</v>
      </c>
      <c r="R64" s="50">
        <v>1</v>
      </c>
      <c r="U64" s="52">
        <f t="shared" si="4"/>
        <v>91000</v>
      </c>
      <c r="V64" s="50">
        <v>1</v>
      </c>
      <c r="Y64" s="52">
        <f t="shared" si="5"/>
        <v>91000</v>
      </c>
      <c r="Z64" s="50">
        <v>1</v>
      </c>
      <c r="AC64" s="52">
        <f t="shared" si="6"/>
        <v>91000</v>
      </c>
    </row>
    <row r="65" spans="1:29" x14ac:dyDescent="0.25">
      <c r="A65" s="60" t="s">
        <v>54</v>
      </c>
      <c r="B65" s="11"/>
      <c r="I65" s="11"/>
      <c r="U65" s="52"/>
    </row>
    <row r="66" spans="1:29" x14ac:dyDescent="0.25">
      <c r="A66" s="60" t="s">
        <v>55</v>
      </c>
      <c r="B66" s="11"/>
      <c r="H66" s="8">
        <v>14</v>
      </c>
      <c r="I66" s="11">
        <v>10600</v>
      </c>
      <c r="J66" s="50">
        <f>11500/10600</f>
        <v>1.0849056603773586</v>
      </c>
      <c r="M66" s="52">
        <f>I66*J66+K66</f>
        <v>11500.000000000002</v>
      </c>
      <c r="N66" s="50">
        <v>1.02</v>
      </c>
      <c r="Q66" s="52">
        <f>M66*N66+O66</f>
        <v>11730.000000000002</v>
      </c>
      <c r="R66" s="50">
        <v>1.02</v>
      </c>
      <c r="U66" s="52">
        <f>Q66*R66+S66</f>
        <v>11964.600000000002</v>
      </c>
      <c r="V66" s="50">
        <v>1.02</v>
      </c>
      <c r="Y66" s="52">
        <f>U66*V66+W66</f>
        <v>12203.892000000002</v>
      </c>
      <c r="Z66" s="50">
        <v>1.02</v>
      </c>
      <c r="AC66" s="52">
        <f>Y66*Z66+AA66</f>
        <v>12447.969840000002</v>
      </c>
    </row>
    <row r="67" spans="1:29" x14ac:dyDescent="0.25">
      <c r="A67" s="48" t="s">
        <v>56</v>
      </c>
      <c r="B67" s="49"/>
      <c r="I67" s="49"/>
      <c r="J67" s="50">
        <v>1.02</v>
      </c>
      <c r="M67" s="52">
        <f>I67*J67+K67</f>
        <v>0</v>
      </c>
      <c r="N67" s="50">
        <v>1.02</v>
      </c>
      <c r="Q67" s="52">
        <f>M67*N67+O67</f>
        <v>0</v>
      </c>
      <c r="R67" s="50">
        <v>1.02</v>
      </c>
      <c r="U67" s="52">
        <f>Q67*R67+S67</f>
        <v>0</v>
      </c>
      <c r="V67" s="50">
        <v>1.02</v>
      </c>
      <c r="Y67" s="52">
        <f>U67*V67+W67</f>
        <v>0</v>
      </c>
      <c r="Z67" s="50">
        <v>1.02</v>
      </c>
      <c r="AC67" s="52">
        <f>Y67*Z67+AA67</f>
        <v>0</v>
      </c>
    </row>
    <row r="68" spans="1:29" x14ac:dyDescent="0.25">
      <c r="A68" s="21" t="s">
        <v>57</v>
      </c>
      <c r="B68" s="54">
        <f>SUM(B58:B67)</f>
        <v>0</v>
      </c>
      <c r="I68" s="54">
        <f>SUM(I58:I67)</f>
        <v>773013</v>
      </c>
      <c r="J68" s="97">
        <f>M68/I68</f>
        <v>0.81294361155633865</v>
      </c>
      <c r="K68" s="54">
        <f>SUM(K58:K67)</f>
        <v>0</v>
      </c>
      <c r="L68" s="54"/>
      <c r="M68" s="54">
        <f>SUM(M58:M67)</f>
        <v>628415.98</v>
      </c>
      <c r="N68" s="97">
        <f>Q68/M68</f>
        <v>1.0150987879079716</v>
      </c>
      <c r="O68" s="54">
        <f>SUM(O58:O67)</f>
        <v>0</v>
      </c>
      <c r="P68" s="54"/>
      <c r="Q68" s="54">
        <f>SUM(Q58:Q67)</f>
        <v>637904.29960000003</v>
      </c>
      <c r="R68" s="97">
        <f>U68/Q68</f>
        <v>1.0151716895435077</v>
      </c>
      <c r="S68" s="54">
        <f>SUM(S58:S67)</f>
        <v>0</v>
      </c>
      <c r="T68" s="54"/>
      <c r="U68" s="54">
        <f>SUM(U58:U67)</f>
        <v>647582.38559199998</v>
      </c>
      <c r="V68" s="97">
        <f>Y68/U68</f>
        <v>1.0152438483990198</v>
      </c>
      <c r="W68" s="54">
        <f>SUM(W58:W67)</f>
        <v>0</v>
      </c>
      <c r="X68" s="54"/>
      <c r="Y68" s="54">
        <f>SUM(Y58:Y67)</f>
        <v>657454.03330384009</v>
      </c>
      <c r="Z68" s="97">
        <f>AC68/Y68</f>
        <v>1.0153152618373598</v>
      </c>
      <c r="AA68" s="54">
        <f>SUM(AA58:AA67)</f>
        <v>0</v>
      </c>
      <c r="AB68" s="54"/>
      <c r="AC68" s="54">
        <f>SUM(AC58:AC67)</f>
        <v>667523.11396991671</v>
      </c>
    </row>
    <row r="69" spans="1:29" x14ac:dyDescent="0.25">
      <c r="A69" s="48"/>
      <c r="B69" s="55"/>
      <c r="I69" s="55">
        <f>773013-I68</f>
        <v>0</v>
      </c>
      <c r="M69" s="96">
        <f>628415.98-M68</f>
        <v>0</v>
      </c>
      <c r="Q69" s="96">
        <f>637904.2996-Q68</f>
        <v>0</v>
      </c>
      <c r="U69" s="96">
        <f>647582.385592-U68</f>
        <v>0</v>
      </c>
      <c r="Y69" s="96">
        <f>657454.03330384-Y68</f>
        <v>0</v>
      </c>
      <c r="AC69" s="96">
        <f>667523.113969917-AC68</f>
        <v>0</v>
      </c>
    </row>
    <row r="70" spans="1:29" x14ac:dyDescent="0.25">
      <c r="A70" s="48" t="s">
        <v>58</v>
      </c>
      <c r="B70" s="55"/>
      <c r="I70" s="55"/>
    </row>
    <row r="71" spans="1:29" x14ac:dyDescent="0.25">
      <c r="A71" s="48" t="s">
        <v>59</v>
      </c>
      <c r="B71" s="49"/>
      <c r="I71" s="49"/>
      <c r="J71" s="50">
        <v>1.02</v>
      </c>
      <c r="M71" s="52">
        <f>I71*J71+K71</f>
        <v>0</v>
      </c>
      <c r="N71" s="50">
        <v>1.02</v>
      </c>
      <c r="Q71" s="52">
        <f>M71*N71+O71</f>
        <v>0</v>
      </c>
      <c r="R71" s="50">
        <v>1.02</v>
      </c>
      <c r="U71" s="52">
        <f>Q71*R71+S71</f>
        <v>0</v>
      </c>
      <c r="V71" s="50">
        <v>1.02</v>
      </c>
      <c r="Y71" s="52">
        <f>U71*V71+W71</f>
        <v>0</v>
      </c>
      <c r="Z71" s="50">
        <v>1.02</v>
      </c>
      <c r="AC71" s="52">
        <f>Y71*Z71+AA71</f>
        <v>0</v>
      </c>
    </row>
    <row r="72" spans="1:29" x14ac:dyDescent="0.25">
      <c r="A72" s="48" t="s">
        <v>60</v>
      </c>
      <c r="B72" s="49"/>
      <c r="I72" s="49">
        <v>64380</v>
      </c>
      <c r="J72" s="50">
        <f>18555/64380</f>
        <v>0.28821062441752099</v>
      </c>
      <c r="M72" s="52">
        <f>I72*J72+K72</f>
        <v>18555</v>
      </c>
      <c r="N72" s="50">
        <f>18926/18555</f>
        <v>1.0199946106170843</v>
      </c>
      <c r="Q72" s="52">
        <f>M72*N72+O72</f>
        <v>18926</v>
      </c>
      <c r="R72" s="50">
        <v>1.02</v>
      </c>
      <c r="U72" s="52">
        <f>Q72*R72+S72</f>
        <v>19304.52</v>
      </c>
      <c r="V72" s="50">
        <f>19691/19305</f>
        <v>1.0199948199948199</v>
      </c>
      <c r="Y72" s="52">
        <f>U72*V72+W72</f>
        <v>19690.510402486401</v>
      </c>
      <c r="Z72" s="50">
        <f>19691/19305</f>
        <v>1.0199948199948199</v>
      </c>
      <c r="AC72" s="52">
        <f>Y72*Z72+AA72</f>
        <v>20084.218613590245</v>
      </c>
    </row>
    <row r="73" spans="1:29" x14ac:dyDescent="0.25">
      <c r="A73" s="48" t="s">
        <v>61</v>
      </c>
      <c r="B73" s="49"/>
      <c r="I73" s="49"/>
      <c r="Q73" s="52">
        <f>M73*N73+O73</f>
        <v>0</v>
      </c>
      <c r="U73" s="52">
        <f>Q73*R73+S73</f>
        <v>0</v>
      </c>
      <c r="Y73" s="52">
        <f>U73*V73+W73</f>
        <v>0</v>
      </c>
      <c r="AC73" s="52">
        <f>Y73*Z73+AA73</f>
        <v>0</v>
      </c>
    </row>
    <row r="74" spans="1:29" x14ac:dyDescent="0.25">
      <c r="A74" s="48" t="s">
        <v>62</v>
      </c>
      <c r="B74" s="49"/>
      <c r="I74" s="49">
        <v>34000</v>
      </c>
      <c r="J74" s="50">
        <v>1</v>
      </c>
      <c r="M74" s="52">
        <f>I74*J74+K74</f>
        <v>34000</v>
      </c>
      <c r="N74" s="50">
        <v>1.02</v>
      </c>
      <c r="Q74" s="52">
        <f>M74*N74+O74</f>
        <v>34680</v>
      </c>
      <c r="R74" s="50">
        <v>1.02</v>
      </c>
      <c r="U74" s="52">
        <f>Q74*R74+S74</f>
        <v>35373.599999999999</v>
      </c>
      <c r="V74" s="50">
        <v>1.02</v>
      </c>
      <c r="Y74" s="52">
        <f>U74*V74+W74</f>
        <v>36081.072</v>
      </c>
      <c r="Z74" s="50">
        <v>1.02</v>
      </c>
      <c r="AC74" s="52">
        <f>Y74*Z74+AA74</f>
        <v>36802.693440000003</v>
      </c>
    </row>
    <row r="75" spans="1:29" x14ac:dyDescent="0.25">
      <c r="A75" s="48" t="s">
        <v>63</v>
      </c>
      <c r="B75" s="49"/>
      <c r="I75" s="49">
        <v>231580</v>
      </c>
      <c r="J75" s="50">
        <f>240000/231580</f>
        <v>1.0363589256412471</v>
      </c>
      <c r="M75" s="52">
        <f>I75*J75+K75</f>
        <v>240000</v>
      </c>
      <c r="N75" s="50">
        <f>242300/240000</f>
        <v>1.0095833333333333</v>
      </c>
      <c r="Q75" s="52">
        <f>M75*N75+O75</f>
        <v>242300</v>
      </c>
      <c r="R75" s="50">
        <f>244646/242300</f>
        <v>1.0096822121337186</v>
      </c>
      <c r="U75" s="52">
        <f>Q75*R75+S75</f>
        <v>244646</v>
      </c>
      <c r="V75" s="50">
        <f>247039/244646</f>
        <v>1.0097814801795246</v>
      </c>
      <c r="Y75" s="52">
        <f>U75*V75+W75</f>
        <v>247038.99999999997</v>
      </c>
      <c r="Z75" s="50">
        <f>249480/247039</f>
        <v>1.009881030930339</v>
      </c>
      <c r="AC75" s="52">
        <f>Y75*Z75+AA75</f>
        <v>249479.99999999997</v>
      </c>
    </row>
    <row r="76" spans="1:29" x14ac:dyDescent="0.25">
      <c r="A76" s="21" t="s">
        <v>64</v>
      </c>
      <c r="B76" s="54">
        <f>SUM(B71:B75)</f>
        <v>0</v>
      </c>
      <c r="I76" s="54">
        <f>SUM(I71:I75)</f>
        <v>329960</v>
      </c>
      <c r="J76" s="50">
        <f>M76/I76</f>
        <v>0.88663777427566981</v>
      </c>
      <c r="K76" s="54">
        <f>SUM(K71:K75)</f>
        <v>0</v>
      </c>
      <c r="L76" s="54"/>
      <c r="M76" s="54">
        <f>SUM(M71:M75)</f>
        <v>292555</v>
      </c>
      <c r="N76" s="50">
        <f>Q76/M76</f>
        <v>1.0114542564645963</v>
      </c>
      <c r="O76" s="54">
        <f>SUM(O71:O75)</f>
        <v>0</v>
      </c>
      <c r="P76" s="54"/>
      <c r="Q76" s="54">
        <f>SUM(Q71:Q75)</f>
        <v>295906</v>
      </c>
      <c r="R76" s="50">
        <f>U76/Q76</f>
        <v>1.0115513710435071</v>
      </c>
      <c r="S76" s="54">
        <f>SUM(S71:S75)</f>
        <v>0</v>
      </c>
      <c r="T76" s="54"/>
      <c r="U76" s="54">
        <f>SUM(U71:U75)</f>
        <v>299324.12</v>
      </c>
      <c r="V76" s="50">
        <f>Y76/U76</f>
        <v>1.011647783020247</v>
      </c>
      <c r="W76" s="54">
        <f>SUM(W71:W75)</f>
        <v>0</v>
      </c>
      <c r="X76" s="54"/>
      <c r="Y76" s="54">
        <f>SUM(Y71:Y75)</f>
        <v>302810.58240248635</v>
      </c>
      <c r="Z76" s="50">
        <f>AC76/Y76</f>
        <v>1.0117444034580565</v>
      </c>
      <c r="AA76" s="54">
        <f>SUM(AA71:AA75)</f>
        <v>0</v>
      </c>
      <c r="AB76" s="54"/>
      <c r="AC76" s="54">
        <f>SUM(AC71:AC75)</f>
        <v>306366.91205359023</v>
      </c>
    </row>
    <row r="77" spans="1:29" x14ac:dyDescent="0.25">
      <c r="A77" s="48"/>
      <c r="B77" s="55"/>
      <c r="I77" s="55">
        <f>329960-I76</f>
        <v>0</v>
      </c>
      <c r="M77" s="11">
        <f>292555-M76</f>
        <v>0</v>
      </c>
      <c r="Q77" s="96">
        <f>295906.1-Q76</f>
        <v>9.9999999976716936E-2</v>
      </c>
      <c r="U77" s="96">
        <f>299324.222-U76</f>
        <v>0.10200000001350418</v>
      </c>
      <c r="Y77" s="96">
        <f>302810.70644-Y76</f>
        <v>0.12403751362580806</v>
      </c>
      <c r="AC77" s="96">
        <f>306367.0021688-AC76</f>
        <v>9.0115209750365466E-2</v>
      </c>
    </row>
    <row r="78" spans="1:29" x14ac:dyDescent="0.25">
      <c r="A78" s="60" t="s">
        <v>65</v>
      </c>
      <c r="B78" s="25"/>
      <c r="I78" s="25"/>
      <c r="J78" s="50">
        <v>1</v>
      </c>
      <c r="M78" s="52">
        <f>I78*J78+K78</f>
        <v>0</v>
      </c>
      <c r="N78" s="50">
        <v>1</v>
      </c>
      <c r="Q78" s="52">
        <f>M78*N78+O78</f>
        <v>0</v>
      </c>
      <c r="R78" s="50">
        <v>1</v>
      </c>
      <c r="U78" s="52">
        <f>Q78*R78+S78</f>
        <v>0</v>
      </c>
      <c r="V78" s="50">
        <v>1</v>
      </c>
      <c r="Y78" s="52">
        <f>U78*V78+W78</f>
        <v>0</v>
      </c>
      <c r="Z78" s="50">
        <v>1</v>
      </c>
      <c r="AC78" s="52">
        <f>Y78*Z78+AA78</f>
        <v>0</v>
      </c>
    </row>
    <row r="79" spans="1:29" x14ac:dyDescent="0.25">
      <c r="A79" s="60" t="str">
        <f>+'Base Financials - Middlesex'!A66</f>
        <v>Administrative Savings</v>
      </c>
      <c r="B79" s="25"/>
      <c r="I79" s="25"/>
      <c r="M79" s="60">
        <f>-'Admin costs Summary'!E3</f>
        <v>-5805</v>
      </c>
      <c r="Q79" s="60">
        <f>+M79</f>
        <v>-5805</v>
      </c>
      <c r="U79" s="60">
        <f>+Q79</f>
        <v>-5805</v>
      </c>
    </row>
    <row r="80" spans="1:29" x14ac:dyDescent="0.25">
      <c r="A80" s="21" t="s">
        <v>67</v>
      </c>
      <c r="B80" s="54">
        <f>B78+B76+B68+B55+B50</f>
        <v>0</v>
      </c>
      <c r="I80" s="54">
        <f>I78+I76+I68+I55+I50</f>
        <v>5751088</v>
      </c>
      <c r="J80" s="50">
        <f>M80/I80</f>
        <v>0.93617589923854416</v>
      </c>
      <c r="K80" s="54">
        <f>K78+K76+K68+K55+K50</f>
        <v>0</v>
      </c>
      <c r="L80" s="54"/>
      <c r="M80" s="54">
        <f>M78+M76+M68+M55+M50+M79</f>
        <v>5384029.9800000004</v>
      </c>
      <c r="N80" s="50">
        <f>Q80/M80</f>
        <v>1.0305010039338598</v>
      </c>
      <c r="O80" s="54">
        <f>O78+O76+O68+O55+O50</f>
        <v>0</v>
      </c>
      <c r="P80" s="54"/>
      <c r="Q80" s="54">
        <f>Q78+Q76+Q68+Q55+Q50+Q79</f>
        <v>5548248.2995999996</v>
      </c>
      <c r="R80" s="50">
        <f>U80/Q80</f>
        <v>1.0202706872365661</v>
      </c>
      <c r="S80" s="54">
        <f>S78+S76+S68+S55+S50</f>
        <v>0</v>
      </c>
      <c r="T80" s="54"/>
      <c r="U80" s="54">
        <f>U78+U76+U68+U55+U50+U79</f>
        <v>5660715.1055920003</v>
      </c>
      <c r="V80" s="50">
        <f>Y80/U80</f>
        <v>1.0197040868571783</v>
      </c>
      <c r="W80" s="54">
        <f>W78+W76+W68+W55+W50</f>
        <v>0</v>
      </c>
      <c r="X80" s="54"/>
      <c r="Y80" s="54">
        <f>Y78+Y76+Y68+Y55+Y50</f>
        <v>5772254.3277063267</v>
      </c>
      <c r="Z80" s="50">
        <f>AC80/Y80</f>
        <v>1.0150568494773369</v>
      </c>
      <c r="AA80" s="54">
        <f>AA78+AA76+AA68+AA55+AA50</f>
        <v>0</v>
      </c>
      <c r="AB80" s="54"/>
      <c r="AC80" s="54">
        <f>AC78+AC76+AC68+AC55+AC50</f>
        <v>5859166.2922635069</v>
      </c>
    </row>
    <row r="81" spans="1:29" hidden="1" x14ac:dyDescent="0.25">
      <c r="A81" s="48"/>
      <c r="B81" s="55"/>
      <c r="I81" s="55">
        <f>5751088-I80</f>
        <v>0</v>
      </c>
      <c r="M81" s="96">
        <f>5389834.62-M80</f>
        <v>5804.6399999996647</v>
      </c>
      <c r="Q81" s="96">
        <f>5554053.3996-Q80</f>
        <v>5805.1000000005588</v>
      </c>
      <c r="U81" s="96">
        <f>5666520.207592-U80</f>
        <v>5805.1019999999553</v>
      </c>
      <c r="Y81" s="96">
        <f>5772254.45174384-Y80</f>
        <v>0.12403751350939274</v>
      </c>
      <c r="AC81" s="96">
        <f>5859166.38237872-AC80</f>
        <v>9.0115212835371494E-2</v>
      </c>
    </row>
    <row r="82" spans="1:29" x14ac:dyDescent="0.25">
      <c r="A82" s="48"/>
      <c r="B82" s="55"/>
      <c r="I82" s="55"/>
    </row>
    <row r="83" spans="1:29" ht="27.6" x14ac:dyDescent="0.25">
      <c r="A83" s="26" t="s">
        <v>68</v>
      </c>
      <c r="B83" s="61">
        <f>B39-B80</f>
        <v>0</v>
      </c>
      <c r="I83" s="61">
        <f>I39-I80</f>
        <v>841</v>
      </c>
      <c r="M83" s="61">
        <f>M39-M80</f>
        <v>228475.01999999955</v>
      </c>
      <c r="Q83" s="61">
        <f>Q39-Q80</f>
        <v>64256.700400000438</v>
      </c>
      <c r="U83" s="61">
        <f>U39-U80</f>
        <v>-48210.105592000298</v>
      </c>
      <c r="Y83" s="61">
        <f>Y39-Y80</f>
        <v>-106810.63770632632</v>
      </c>
      <c r="AC83" s="61">
        <f>AC39-AC80</f>
        <v>-135658.52536350582</v>
      </c>
    </row>
    <row r="84" spans="1:29" x14ac:dyDescent="0.25">
      <c r="A84" s="26"/>
      <c r="B84" s="62"/>
      <c r="I84" s="62"/>
      <c r="M84" s="62"/>
      <c r="Q84" s="62"/>
      <c r="U84" s="62"/>
      <c r="Y84" s="62"/>
      <c r="AC84" s="62"/>
    </row>
    <row r="85" spans="1:29" x14ac:dyDescent="0.25">
      <c r="A85" s="26"/>
      <c r="B85" s="62"/>
      <c r="I85" s="62"/>
      <c r="M85" s="62"/>
      <c r="Q85" s="62"/>
      <c r="U85" s="62"/>
      <c r="Y85" s="62"/>
      <c r="AC85" s="62"/>
    </row>
    <row r="86" spans="1:29" x14ac:dyDescent="0.25">
      <c r="A86" s="63" t="s">
        <v>69</v>
      </c>
      <c r="B86" s="57"/>
      <c r="I86" s="57"/>
    </row>
    <row r="87" spans="1:29" x14ac:dyDescent="0.25">
      <c r="A87" s="8" t="s">
        <v>70</v>
      </c>
      <c r="B87" s="25"/>
      <c r="I87" s="25"/>
    </row>
    <row r="88" spans="1:29" x14ac:dyDescent="0.25">
      <c r="A88" s="8" t="s">
        <v>71</v>
      </c>
      <c r="B88" s="25"/>
      <c r="I88" s="25"/>
    </row>
    <row r="89" spans="1:29" x14ac:dyDescent="0.25">
      <c r="A89" s="8" t="s">
        <v>72</v>
      </c>
      <c r="B89" s="25"/>
      <c r="I89" s="25"/>
    </row>
    <row r="90" spans="1:29" x14ac:dyDescent="0.25">
      <c r="A90" s="8" t="s">
        <v>139</v>
      </c>
      <c r="B90" s="25"/>
      <c r="I90" s="25"/>
    </row>
    <row r="91" spans="1:29" x14ac:dyDescent="0.25">
      <c r="A91" s="8" t="s">
        <v>73</v>
      </c>
      <c r="B91" s="25"/>
      <c r="I91" s="25"/>
    </row>
    <row r="92" spans="1:29" x14ac:dyDescent="0.25">
      <c r="A92" s="8" t="s">
        <v>73</v>
      </c>
      <c r="B92" s="25"/>
      <c r="I92" s="25"/>
    </row>
    <row r="93" spans="1:29" x14ac:dyDescent="0.25">
      <c r="A93" s="28" t="s">
        <v>74</v>
      </c>
      <c r="B93" s="61">
        <f>SUM(B83:B92)</f>
        <v>0</v>
      </c>
      <c r="I93" s="61">
        <f>SUM(I83:I92)</f>
        <v>841</v>
      </c>
      <c r="M93" s="61">
        <f>SUM(M83:M92)</f>
        <v>228475.01999999955</v>
      </c>
      <c r="Q93" s="61">
        <f>SUM(Q83:Q92)</f>
        <v>64256.700400000438</v>
      </c>
      <c r="U93" s="61">
        <f>SUM(U83:U92)</f>
        <v>-48210.105592000298</v>
      </c>
      <c r="Y93" s="61">
        <f>SUM(Y83:Y92)</f>
        <v>-106810.63770632632</v>
      </c>
      <c r="AC93" s="61">
        <f>SUM(AC83:AC92)</f>
        <v>-135658.52536350582</v>
      </c>
    </row>
    <row r="94" spans="1:29" x14ac:dyDescent="0.25">
      <c r="A94" s="8" t="s">
        <v>75</v>
      </c>
      <c r="B94" s="25"/>
      <c r="I94" s="25"/>
      <c r="M94" s="25"/>
      <c r="Q94" s="25"/>
      <c r="U94" s="25"/>
      <c r="Y94" s="25"/>
      <c r="AC94" s="25"/>
    </row>
    <row r="95" spans="1:29" ht="28.2" thickBot="1" x14ac:dyDescent="0.3">
      <c r="A95" s="30" t="s">
        <v>76</v>
      </c>
      <c r="B95" s="15">
        <f>B93</f>
        <v>0</v>
      </c>
      <c r="I95" s="15">
        <f>I93</f>
        <v>841</v>
      </c>
      <c r="M95" s="15">
        <f>M93</f>
        <v>228475.01999999955</v>
      </c>
      <c r="Q95" s="15">
        <f>Q93</f>
        <v>64256.700400000438</v>
      </c>
      <c r="U95" s="15">
        <f>U93</f>
        <v>-48210.105592000298</v>
      </c>
      <c r="Y95" s="15">
        <f>Y93</f>
        <v>-106810.63770632632</v>
      </c>
      <c r="AC95" s="15">
        <f>AC93</f>
        <v>-135658.52536350582</v>
      </c>
    </row>
    <row r="96" spans="1:29" ht="14.4" thickTop="1" x14ac:dyDescent="0.25"/>
    <row r="97" spans="1:9" ht="27.6" x14ac:dyDescent="0.25">
      <c r="A97" s="31" t="s">
        <v>77</v>
      </c>
      <c r="C97" s="64" t="s">
        <v>125</v>
      </c>
      <c r="D97" s="64" t="s">
        <v>126</v>
      </c>
      <c r="E97" s="64" t="s">
        <v>127</v>
      </c>
      <c r="F97" s="64" t="s">
        <v>158</v>
      </c>
      <c r="G97" s="64" t="s">
        <v>129</v>
      </c>
    </row>
    <row r="98" spans="1:9" x14ac:dyDescent="0.25">
      <c r="A98" s="47" t="s">
        <v>16</v>
      </c>
      <c r="B98" s="65"/>
      <c r="C98" s="66">
        <v>4027560</v>
      </c>
      <c r="D98" s="67"/>
      <c r="E98" s="67">
        <f>233717-56947</f>
        <v>176770</v>
      </c>
      <c r="F98" s="68"/>
      <c r="G98" s="68"/>
      <c r="H98" s="68">
        <f>SUM(C98:G98)</f>
        <v>4204330</v>
      </c>
      <c r="I98" s="44">
        <f>H98</f>
        <v>4204330</v>
      </c>
    </row>
    <row r="99" spans="1:9" x14ac:dyDescent="0.25">
      <c r="A99" s="47" t="s">
        <v>20</v>
      </c>
      <c r="B99" s="65"/>
      <c r="C99" s="66">
        <v>15645</v>
      </c>
      <c r="D99" s="66"/>
      <c r="E99" s="66"/>
      <c r="F99" s="68"/>
      <c r="G99" s="68"/>
      <c r="H99" s="68">
        <f t="shared" ref="H99:H110" si="7">SUM(C99:G99)</f>
        <v>15645</v>
      </c>
      <c r="I99" s="44">
        <f t="shared" ref="I99:I110" si="8">H99</f>
        <v>15645</v>
      </c>
    </row>
    <row r="100" spans="1:9" x14ac:dyDescent="0.25">
      <c r="A100" s="47" t="s">
        <v>21</v>
      </c>
      <c r="B100" s="65"/>
      <c r="C100" s="66"/>
      <c r="D100" s="66"/>
      <c r="E100" s="66"/>
      <c r="F100" s="68"/>
      <c r="G100" s="68"/>
      <c r="H100" s="68">
        <f t="shared" si="7"/>
        <v>0</v>
      </c>
      <c r="I100" s="44">
        <f t="shared" si="8"/>
        <v>0</v>
      </c>
    </row>
    <row r="101" spans="1:9" x14ac:dyDescent="0.25">
      <c r="A101" s="47" t="s">
        <v>22</v>
      </c>
      <c r="B101" s="65"/>
      <c r="C101" s="69"/>
      <c r="D101" s="69"/>
      <c r="E101" s="69"/>
      <c r="F101" s="69"/>
      <c r="G101" s="69"/>
      <c r="H101" s="69">
        <f t="shared" si="7"/>
        <v>0</v>
      </c>
      <c r="I101" s="44">
        <f t="shared" si="8"/>
        <v>0</v>
      </c>
    </row>
    <row r="102" spans="1:9" x14ac:dyDescent="0.25">
      <c r="A102" s="47" t="s">
        <v>23</v>
      </c>
      <c r="B102" s="65"/>
      <c r="C102" s="69"/>
      <c r="D102" s="69"/>
      <c r="E102" s="69"/>
      <c r="F102" s="69">
        <v>209271</v>
      </c>
      <c r="G102" s="69">
        <v>135297.11000000002</v>
      </c>
      <c r="H102" s="69"/>
      <c r="I102" s="44"/>
    </row>
    <row r="103" spans="1:9" x14ac:dyDescent="0.25">
      <c r="A103" s="47"/>
      <c r="B103" s="65"/>
      <c r="C103" s="69"/>
      <c r="D103" s="69"/>
      <c r="E103" s="69"/>
      <c r="F103" s="69"/>
      <c r="G103" s="69"/>
      <c r="H103" s="69"/>
      <c r="I103" s="44"/>
    </row>
    <row r="104" spans="1:9" x14ac:dyDescent="0.25">
      <c r="A104" s="70" t="s">
        <v>140</v>
      </c>
      <c r="B104" s="71">
        <f t="shared" ref="B104:G104" si="9">SUM(B98:B103)</f>
        <v>0</v>
      </c>
      <c r="C104" s="71">
        <f t="shared" si="9"/>
        <v>4043205</v>
      </c>
      <c r="D104" s="71">
        <f t="shared" si="9"/>
        <v>0</v>
      </c>
      <c r="E104" s="71">
        <f t="shared" si="9"/>
        <v>176770</v>
      </c>
      <c r="F104" s="71">
        <f t="shared" si="9"/>
        <v>209271</v>
      </c>
      <c r="G104" s="71">
        <f t="shared" si="9"/>
        <v>135297.11000000002</v>
      </c>
      <c r="H104" s="69">
        <f t="shared" si="7"/>
        <v>4564543.1100000003</v>
      </c>
      <c r="I104" s="44">
        <f t="shared" si="8"/>
        <v>4564543.1100000003</v>
      </c>
    </row>
    <row r="105" spans="1:9" x14ac:dyDescent="0.25">
      <c r="A105" s="47"/>
      <c r="B105" s="71"/>
      <c r="C105" s="69"/>
      <c r="D105" s="69"/>
      <c r="E105" s="69"/>
      <c r="F105" s="69"/>
      <c r="G105" s="69"/>
      <c r="H105" s="69">
        <f t="shared" si="7"/>
        <v>0</v>
      </c>
      <c r="I105" s="44">
        <f t="shared" si="8"/>
        <v>0</v>
      </c>
    </row>
    <row r="106" spans="1:9" x14ac:dyDescent="0.25">
      <c r="A106" s="47" t="s">
        <v>141</v>
      </c>
      <c r="B106" s="71"/>
      <c r="C106" s="72"/>
      <c r="D106" s="72"/>
      <c r="E106" s="72"/>
      <c r="F106" s="72"/>
      <c r="G106" s="72"/>
      <c r="H106" s="69">
        <f t="shared" si="7"/>
        <v>0</v>
      </c>
      <c r="I106" s="44">
        <f t="shared" si="8"/>
        <v>0</v>
      </c>
    </row>
    <row r="107" spans="1:9" x14ac:dyDescent="0.25">
      <c r="A107" s="47" t="s">
        <v>142</v>
      </c>
      <c r="B107" s="71"/>
      <c r="C107" s="72"/>
      <c r="D107" s="72"/>
      <c r="E107" s="72"/>
      <c r="F107" s="72"/>
      <c r="G107" s="72"/>
      <c r="H107" s="69">
        <f t="shared" si="7"/>
        <v>0</v>
      </c>
      <c r="I107" s="44">
        <f t="shared" si="8"/>
        <v>0</v>
      </c>
    </row>
    <row r="108" spans="1:9" x14ac:dyDescent="0.25">
      <c r="A108" s="47" t="s">
        <v>143</v>
      </c>
      <c r="B108" s="71"/>
      <c r="C108" s="72"/>
      <c r="D108" s="72"/>
      <c r="E108" s="72">
        <v>115401</v>
      </c>
      <c r="F108" s="72"/>
      <c r="G108" s="72"/>
      <c r="H108" s="69">
        <f t="shared" si="7"/>
        <v>115401</v>
      </c>
      <c r="I108" s="44">
        <f t="shared" si="8"/>
        <v>115401</v>
      </c>
    </row>
    <row r="109" spans="1:9" x14ac:dyDescent="0.25">
      <c r="A109" s="47" t="s">
        <v>144</v>
      </c>
      <c r="B109" s="71"/>
      <c r="C109" s="72"/>
      <c r="D109" s="72"/>
      <c r="E109" s="72"/>
      <c r="F109" s="72"/>
      <c r="G109" s="72">
        <v>88499.83</v>
      </c>
      <c r="H109" s="69">
        <f t="shared" si="7"/>
        <v>88499.83</v>
      </c>
      <c r="I109" s="44">
        <f t="shared" si="8"/>
        <v>88499.83</v>
      </c>
    </row>
    <row r="110" spans="1:9" x14ac:dyDescent="0.25">
      <c r="A110" s="47" t="s">
        <v>145</v>
      </c>
      <c r="B110" s="71"/>
      <c r="C110" s="72"/>
      <c r="D110" s="72"/>
      <c r="E110" s="72"/>
      <c r="F110" s="72"/>
      <c r="G110" s="72"/>
      <c r="H110" s="69">
        <f t="shared" si="7"/>
        <v>0</v>
      </c>
      <c r="I110" s="44">
        <f t="shared" si="8"/>
        <v>0</v>
      </c>
    </row>
    <row r="111" spans="1:9" x14ac:dyDescent="0.25">
      <c r="A111" s="47"/>
      <c r="B111" s="71"/>
      <c r="C111" s="73">
        <f>SUM(C104:C110)</f>
        <v>4043205</v>
      </c>
      <c r="D111" s="73">
        <f t="shared" ref="D111:I111" si="10">SUM(D104:D110)</f>
        <v>0</v>
      </c>
      <c r="E111" s="73">
        <f t="shared" si="10"/>
        <v>292171</v>
      </c>
      <c r="F111" s="73">
        <f t="shared" si="10"/>
        <v>209271</v>
      </c>
      <c r="G111" s="73">
        <f t="shared" si="10"/>
        <v>223796.94</v>
      </c>
      <c r="H111" s="73">
        <f t="shared" si="10"/>
        <v>4768443.9400000004</v>
      </c>
      <c r="I111" s="73">
        <f t="shared" si="10"/>
        <v>4768443.9400000004</v>
      </c>
    </row>
    <row r="112" spans="1:9" x14ac:dyDescent="0.25">
      <c r="B112" s="25"/>
      <c r="C112" s="52"/>
      <c r="D112" s="52"/>
      <c r="E112" s="52"/>
      <c r="F112" s="52"/>
      <c r="G112" s="52"/>
      <c r="H112" s="52"/>
      <c r="I112" s="52"/>
    </row>
    <row r="113" spans="1:9" x14ac:dyDescent="0.25">
      <c r="A113" s="8" t="s">
        <v>95</v>
      </c>
      <c r="B113" s="11">
        <v>195374</v>
      </c>
      <c r="C113" s="52"/>
      <c r="D113" s="52"/>
      <c r="E113" s="52"/>
      <c r="F113" s="52"/>
      <c r="G113" s="52"/>
      <c r="H113" s="52"/>
      <c r="I113" s="52"/>
    </row>
    <row r="114" spans="1:9" x14ac:dyDescent="0.25">
      <c r="A114" s="8" t="s">
        <v>96</v>
      </c>
      <c r="B114" s="11">
        <v>366153</v>
      </c>
      <c r="C114" s="52"/>
      <c r="D114" s="52"/>
      <c r="E114" s="52"/>
      <c r="F114" s="52"/>
      <c r="G114" s="52"/>
      <c r="H114" s="52"/>
      <c r="I114" s="52"/>
    </row>
    <row r="115" spans="1:9" x14ac:dyDescent="0.25">
      <c r="A115" s="74" t="s">
        <v>27</v>
      </c>
      <c r="B115" s="29">
        <v>561527</v>
      </c>
      <c r="C115" s="52"/>
      <c r="D115" s="52"/>
      <c r="E115" s="52"/>
      <c r="F115" s="52"/>
      <c r="G115" s="52"/>
      <c r="H115" s="52"/>
      <c r="I115" s="52"/>
    </row>
    <row r="116" spans="1:9" x14ac:dyDescent="0.25">
      <c r="B116" s="25"/>
      <c r="C116" s="52"/>
      <c r="D116" s="52"/>
      <c r="E116" s="52"/>
      <c r="F116" s="52"/>
      <c r="G116" s="52"/>
      <c r="H116" s="52"/>
      <c r="I116" s="52"/>
    </row>
    <row r="117" spans="1:9" s="75" customFormat="1" x14ac:dyDescent="0.25">
      <c r="A117" s="75" t="s">
        <v>146</v>
      </c>
      <c r="B117" s="76"/>
      <c r="I117" s="76">
        <f>I111-I39</f>
        <v>-983485.05999999959</v>
      </c>
    </row>
    <row r="118" spans="1:9" x14ac:dyDescent="0.25">
      <c r="B118" s="11"/>
      <c r="I118" s="11"/>
    </row>
    <row r="119" spans="1:9" ht="14.4" x14ac:dyDescent="0.3">
      <c r="A119" s="77" t="s">
        <v>81</v>
      </c>
      <c r="B119" s="11"/>
      <c r="I119" s="11"/>
    </row>
    <row r="120" spans="1:9" ht="27.6" x14ac:dyDescent="0.25">
      <c r="B120" s="11"/>
      <c r="C120" s="64" t="s">
        <v>125</v>
      </c>
      <c r="D120" s="64" t="s">
        <v>126</v>
      </c>
      <c r="E120" s="64" t="s">
        <v>127</v>
      </c>
      <c r="F120" s="64" t="s">
        <v>158</v>
      </c>
      <c r="G120" s="64" t="s">
        <v>129</v>
      </c>
      <c r="I120" s="11"/>
    </row>
    <row r="121" spans="1:9" x14ac:dyDescent="0.25">
      <c r="A121" s="48" t="s">
        <v>35</v>
      </c>
      <c r="B121" s="11"/>
      <c r="I121" s="11"/>
    </row>
    <row r="122" spans="1:9" x14ac:dyDescent="0.25">
      <c r="A122" s="48" t="s">
        <v>36</v>
      </c>
      <c r="B122" s="11"/>
      <c r="C122" s="67">
        <f>182167/0.75</f>
        <v>242889.33333333334</v>
      </c>
      <c r="D122" s="67"/>
      <c r="E122" s="67"/>
      <c r="F122" s="67"/>
      <c r="G122" s="67"/>
      <c r="H122" s="46">
        <f>SUM(C122:G122)</f>
        <v>242889.33333333334</v>
      </c>
      <c r="I122" s="65">
        <f>H122+(H122/(H123+H122)*H125)</f>
        <v>188563.02907548656</v>
      </c>
    </row>
    <row r="123" spans="1:9" x14ac:dyDescent="0.25">
      <c r="A123" s="48" t="s">
        <v>37</v>
      </c>
      <c r="B123" s="11"/>
      <c r="C123" s="67">
        <f>3313783.14-C122</f>
        <v>3070893.8066666666</v>
      </c>
      <c r="D123" s="67"/>
      <c r="E123" s="67"/>
      <c r="F123" s="67">
        <f>205437</f>
        <v>205437</v>
      </c>
      <c r="G123" s="67">
        <v>166582.27230769233</v>
      </c>
      <c r="H123" s="46">
        <f>SUM(C123:G123)</f>
        <v>3442913.0789743587</v>
      </c>
      <c r="I123" s="65">
        <f>H123+(H123/(H123+H122)*H125)</f>
        <v>2672847.3832322056</v>
      </c>
    </row>
    <row r="124" spans="1:9" x14ac:dyDescent="0.25">
      <c r="A124" s="48" t="s">
        <v>147</v>
      </c>
      <c r="B124" s="11"/>
      <c r="C124" s="67"/>
      <c r="D124" s="67"/>
      <c r="E124" s="67"/>
      <c r="F124" s="67"/>
      <c r="G124" s="67"/>
      <c r="H124" s="46">
        <f>SUM(C124:G124)</f>
        <v>0</v>
      </c>
      <c r="I124" s="65"/>
    </row>
    <row r="125" spans="1:9" x14ac:dyDescent="0.25">
      <c r="A125" s="48" t="s">
        <v>38</v>
      </c>
      <c r="B125" s="11"/>
      <c r="C125" s="67">
        <v>-741184</v>
      </c>
      <c r="D125" s="67"/>
      <c r="E125" s="67"/>
      <c r="F125" s="67">
        <v>-45949</v>
      </c>
      <c r="G125" s="67">
        <v>-37259</v>
      </c>
      <c r="H125" s="46">
        <f>SUM(C125:G125)</f>
        <v>-824392</v>
      </c>
      <c r="I125" s="65"/>
    </row>
    <row r="126" spans="1:9" x14ac:dyDescent="0.25">
      <c r="A126" s="9" t="s">
        <v>39</v>
      </c>
      <c r="B126" s="11"/>
      <c r="C126" s="78">
        <f>SUM(C122:C125)</f>
        <v>2572599.14</v>
      </c>
      <c r="D126" s="78">
        <f t="shared" ref="D126:I126" si="11">SUM(D122:D125)</f>
        <v>0</v>
      </c>
      <c r="E126" s="78">
        <f t="shared" si="11"/>
        <v>0</v>
      </c>
      <c r="F126" s="78">
        <f t="shared" si="11"/>
        <v>159488</v>
      </c>
      <c r="G126" s="78">
        <f t="shared" si="11"/>
        <v>129323.27230769233</v>
      </c>
      <c r="H126" s="78">
        <f t="shared" si="11"/>
        <v>2861410.4123076922</v>
      </c>
      <c r="I126" s="78">
        <f t="shared" si="11"/>
        <v>2861410.4123076922</v>
      </c>
    </row>
    <row r="127" spans="1:9" x14ac:dyDescent="0.25">
      <c r="A127" s="48" t="s">
        <v>40</v>
      </c>
      <c r="B127" s="79" t="e">
        <f>C49</f>
        <v>#DIV/0!</v>
      </c>
      <c r="C127" s="46" t="e">
        <f>$B$127*(C123+C122)</f>
        <v>#DIV/0!</v>
      </c>
      <c r="D127" s="46">
        <f>0.21*(D123+D122)</f>
        <v>0</v>
      </c>
      <c r="E127" s="46">
        <f>0.21*(E123+E122)</f>
        <v>0</v>
      </c>
      <c r="F127" s="46" t="e">
        <f>$B$127*(F123+F122)</f>
        <v>#DIV/0!</v>
      </c>
      <c r="G127" s="46" t="e">
        <f>$B$127*(G123+G122)</f>
        <v>#DIV/0!</v>
      </c>
      <c r="H127" s="46" t="e">
        <f>SUM(C127:G127)</f>
        <v>#DIV/0!</v>
      </c>
      <c r="I127" s="65" t="e">
        <f>H127</f>
        <v>#DIV/0!</v>
      </c>
    </row>
    <row r="128" spans="1:9" x14ac:dyDescent="0.25">
      <c r="A128" s="21" t="s">
        <v>41</v>
      </c>
      <c r="B128" s="11"/>
      <c r="C128" s="78" t="e">
        <f t="shared" ref="C128:H128" si="12">SUM(C126:C127)</f>
        <v>#DIV/0!</v>
      </c>
      <c r="D128" s="78">
        <f t="shared" si="12"/>
        <v>0</v>
      </c>
      <c r="E128" s="78">
        <f t="shared" si="12"/>
        <v>0</v>
      </c>
      <c r="F128" s="78" t="e">
        <f t="shared" si="12"/>
        <v>#DIV/0!</v>
      </c>
      <c r="G128" s="78" t="e">
        <f t="shared" si="12"/>
        <v>#DIV/0!</v>
      </c>
      <c r="H128" s="78" t="e">
        <f t="shared" si="12"/>
        <v>#DIV/0!</v>
      </c>
      <c r="I128" s="71" t="e">
        <f>H128</f>
        <v>#DIV/0!</v>
      </c>
    </row>
    <row r="129" spans="1:9" x14ac:dyDescent="0.25">
      <c r="A129" s="48"/>
      <c r="B129" s="11"/>
      <c r="I129" s="11"/>
    </row>
    <row r="130" spans="1:9" x14ac:dyDescent="0.25">
      <c r="A130" s="8" t="s">
        <v>82</v>
      </c>
      <c r="B130" s="44"/>
      <c r="H130" s="8">
        <v>2</v>
      </c>
      <c r="I130" s="11">
        <f>13893+9766</f>
        <v>23659</v>
      </c>
    </row>
    <row r="131" spans="1:9" x14ac:dyDescent="0.25">
      <c r="A131" s="8" t="s">
        <v>83</v>
      </c>
      <c r="B131" s="44"/>
      <c r="H131" s="8">
        <v>1</v>
      </c>
      <c r="I131" s="11">
        <v>87102</v>
      </c>
    </row>
    <row r="132" spans="1:9" x14ac:dyDescent="0.25">
      <c r="A132" s="13" t="s">
        <v>43</v>
      </c>
      <c r="B132" s="29">
        <f>SUM(B130:B131)</f>
        <v>0</v>
      </c>
      <c r="I132" s="29">
        <f>SUM(I130:I131)</f>
        <v>110761</v>
      </c>
    </row>
    <row r="133" spans="1:9" x14ac:dyDescent="0.25">
      <c r="B133" s="11"/>
      <c r="I133" s="11"/>
    </row>
    <row r="134" spans="1:9" x14ac:dyDescent="0.25">
      <c r="A134" s="8" t="s">
        <v>84</v>
      </c>
      <c r="B134" s="11">
        <v>2052</v>
      </c>
      <c r="H134" s="8">
        <v>3</v>
      </c>
      <c r="I134" s="11">
        <v>11255</v>
      </c>
    </row>
    <row r="135" spans="1:9" x14ac:dyDescent="0.25">
      <c r="A135" s="8" t="s">
        <v>85</v>
      </c>
      <c r="B135" s="11">
        <v>309452</v>
      </c>
      <c r="H135" s="8">
        <v>4</v>
      </c>
      <c r="I135" s="11">
        <v>4533443</v>
      </c>
    </row>
    <row r="136" spans="1:9" x14ac:dyDescent="0.25">
      <c r="A136" s="9" t="s">
        <v>47</v>
      </c>
      <c r="B136" s="29">
        <f>SUM(B134:B135)</f>
        <v>311504</v>
      </c>
      <c r="I136" s="29">
        <f>SUM(I134:I135)</f>
        <v>4544698</v>
      </c>
    </row>
    <row r="137" spans="1:9" x14ac:dyDescent="0.25">
      <c r="B137" s="25"/>
      <c r="I137" s="25"/>
    </row>
    <row r="138" spans="1:9" x14ac:dyDescent="0.25">
      <c r="A138" s="8" t="s">
        <v>86</v>
      </c>
      <c r="B138" s="11">
        <v>10</v>
      </c>
      <c r="I138" s="11"/>
    </row>
    <row r="139" spans="1:9" x14ac:dyDescent="0.25">
      <c r="A139" s="8" t="s">
        <v>87</v>
      </c>
      <c r="B139" s="11">
        <v>4577</v>
      </c>
      <c r="H139" s="8">
        <v>5</v>
      </c>
      <c r="I139" s="11">
        <v>36039</v>
      </c>
    </row>
    <row r="140" spans="1:9" x14ac:dyDescent="0.25">
      <c r="A140" s="8" t="s">
        <v>88</v>
      </c>
      <c r="B140" s="11">
        <v>20540</v>
      </c>
      <c r="H140" s="8">
        <v>6</v>
      </c>
      <c r="I140" s="11">
        <v>13261</v>
      </c>
    </row>
    <row r="141" spans="1:9" x14ac:dyDescent="0.25">
      <c r="A141" s="8" t="s">
        <v>89</v>
      </c>
      <c r="B141" s="11"/>
      <c r="I141" s="11"/>
    </row>
    <row r="142" spans="1:9" x14ac:dyDescent="0.25">
      <c r="A142" s="8" t="s">
        <v>90</v>
      </c>
      <c r="B142" s="11"/>
      <c r="I142" s="11">
        <f>908+1535+2084+43+104+3077</f>
        <v>7751</v>
      </c>
    </row>
    <row r="143" spans="1:9" x14ac:dyDescent="0.25">
      <c r="A143" s="8" t="s">
        <v>99</v>
      </c>
      <c r="B143" s="11">
        <v>42</v>
      </c>
      <c r="I143" s="11"/>
    </row>
    <row r="144" spans="1:9" x14ac:dyDescent="0.25">
      <c r="A144" s="8" t="s">
        <v>100</v>
      </c>
      <c r="B144" s="11">
        <v>29663</v>
      </c>
      <c r="I144" s="11"/>
    </row>
    <row r="145" spans="1:9" x14ac:dyDescent="0.25">
      <c r="A145" s="8" t="s">
        <v>101</v>
      </c>
      <c r="B145" s="11">
        <v>14292</v>
      </c>
      <c r="I145" s="11"/>
    </row>
    <row r="146" spans="1:9" x14ac:dyDescent="0.25">
      <c r="B146" s="11"/>
      <c r="I146" s="11"/>
    </row>
    <row r="147" spans="1:9" x14ac:dyDescent="0.25">
      <c r="A147" s="13" t="s">
        <v>56</v>
      </c>
      <c r="B147" s="29">
        <f>SUM(B138:B146)</f>
        <v>69124</v>
      </c>
      <c r="I147" s="29">
        <f>SUM(I138:I146)</f>
        <v>57051</v>
      </c>
    </row>
    <row r="148" spans="1:9" x14ac:dyDescent="0.25">
      <c r="B148" s="11"/>
      <c r="I148" s="11"/>
    </row>
    <row r="149" spans="1:9" x14ac:dyDescent="0.25">
      <c r="A149" s="8" t="s">
        <v>91</v>
      </c>
      <c r="B149" s="11"/>
      <c r="H149" s="8">
        <v>7</v>
      </c>
      <c r="I149" s="11">
        <v>15394</v>
      </c>
    </row>
    <row r="150" spans="1:9" x14ac:dyDescent="0.25">
      <c r="A150" s="8" t="s">
        <v>92</v>
      </c>
      <c r="B150" s="11"/>
      <c r="H150" s="8">
        <v>16</v>
      </c>
      <c r="I150" s="11">
        <v>409481</v>
      </c>
    </row>
    <row r="151" spans="1:9" x14ac:dyDescent="0.25">
      <c r="B151" s="11"/>
      <c r="I151" s="11"/>
    </row>
    <row r="152" spans="1:9" x14ac:dyDescent="0.25">
      <c r="A152" s="13" t="s">
        <v>62</v>
      </c>
      <c r="B152" s="29">
        <f>SUM(B149:B151)</f>
        <v>0</v>
      </c>
      <c r="I152" s="29">
        <f>SUM(I149:I151)</f>
        <v>424875</v>
      </c>
    </row>
    <row r="153" spans="1:9" x14ac:dyDescent="0.25">
      <c r="B153" s="11"/>
      <c r="I153" s="11"/>
    </row>
    <row r="154" spans="1:9" x14ac:dyDescent="0.25">
      <c r="A154" s="8" t="s">
        <v>104</v>
      </c>
      <c r="B154" s="11">
        <v>6130</v>
      </c>
      <c r="I154" s="11"/>
    </row>
    <row r="155" spans="1:9" x14ac:dyDescent="0.25">
      <c r="A155" s="8" t="s">
        <v>105</v>
      </c>
      <c r="B155" s="11">
        <v>0</v>
      </c>
      <c r="I155" s="11"/>
    </row>
    <row r="156" spans="1:9" x14ac:dyDescent="0.25">
      <c r="A156" s="8" t="s">
        <v>106</v>
      </c>
      <c r="B156" s="11">
        <v>1973</v>
      </c>
      <c r="I156" s="11"/>
    </row>
    <row r="157" spans="1:9" x14ac:dyDescent="0.25">
      <c r="A157" s="13" t="s">
        <v>49</v>
      </c>
      <c r="B157" s="29">
        <f>SUM(B154:B156)</f>
        <v>8103</v>
      </c>
      <c r="I157" s="29">
        <f>SUM(I154:I156)</f>
        <v>0</v>
      </c>
    </row>
    <row r="158" spans="1:9" x14ac:dyDescent="0.25">
      <c r="B158" s="11"/>
      <c r="I158" s="11"/>
    </row>
    <row r="159" spans="1:9" x14ac:dyDescent="0.25">
      <c r="A159" s="8" t="s">
        <v>93</v>
      </c>
      <c r="B159" s="11">
        <v>21337</v>
      </c>
      <c r="H159" s="8">
        <v>8</v>
      </c>
      <c r="I159" s="11">
        <v>258371</v>
      </c>
    </row>
    <row r="160" spans="1:9" x14ac:dyDescent="0.25">
      <c r="A160" s="8" t="s">
        <v>94</v>
      </c>
      <c r="B160" s="11">
        <v>19535</v>
      </c>
      <c r="H160" s="8">
        <v>9</v>
      </c>
      <c r="I160" s="11">
        <v>56833</v>
      </c>
    </row>
    <row r="161" spans="1:9" x14ac:dyDescent="0.25">
      <c r="A161" s="8" t="s">
        <v>160</v>
      </c>
      <c r="B161" s="11">
        <v>79193</v>
      </c>
      <c r="I161" s="11"/>
    </row>
    <row r="162" spans="1:9" x14ac:dyDescent="0.25">
      <c r="B162" s="11"/>
      <c r="I162" s="11"/>
    </row>
    <row r="163" spans="1:9" x14ac:dyDescent="0.25">
      <c r="A163" s="13" t="s">
        <v>52</v>
      </c>
      <c r="B163" s="29">
        <f>SUM(B159:B162)</f>
        <v>120065</v>
      </c>
      <c r="I163" s="29">
        <f>SUM(I159:I162)</f>
        <v>315204</v>
      </c>
    </row>
    <row r="164" spans="1:9" x14ac:dyDescent="0.25">
      <c r="B164" s="25"/>
      <c r="I164" s="25"/>
    </row>
    <row r="165" spans="1:9" ht="27.6" hidden="1" x14ac:dyDescent="0.25">
      <c r="C165" s="42" t="s">
        <v>125</v>
      </c>
      <c r="D165" s="42" t="s">
        <v>126</v>
      </c>
      <c r="E165" s="42" t="s">
        <v>127</v>
      </c>
      <c r="F165" s="42" t="s">
        <v>128</v>
      </c>
      <c r="G165" s="42" t="s">
        <v>129</v>
      </c>
      <c r="H165" s="42" t="s">
        <v>130</v>
      </c>
    </row>
    <row r="166" spans="1:9" hidden="1" x14ac:dyDescent="0.25">
      <c r="A166" s="34" t="s">
        <v>72</v>
      </c>
    </row>
    <row r="167" spans="1:9" hidden="1" x14ac:dyDescent="0.25">
      <c r="A167" s="34" t="s">
        <v>148</v>
      </c>
      <c r="C167" s="69">
        <v>733735</v>
      </c>
      <c r="D167" s="69">
        <v>248868</v>
      </c>
      <c r="E167" s="69">
        <v>9280</v>
      </c>
      <c r="F167" s="69"/>
      <c r="G167" s="69"/>
      <c r="H167" s="46">
        <f>SUM(C167:G167)</f>
        <v>991883</v>
      </c>
    </row>
    <row r="168" spans="1:9" hidden="1" x14ac:dyDescent="0.25">
      <c r="A168" s="34" t="s">
        <v>149</v>
      </c>
      <c r="C168" s="69"/>
      <c r="D168" s="69"/>
      <c r="E168" s="69">
        <v>9280</v>
      </c>
      <c r="F168" s="69"/>
      <c r="G168" s="69"/>
      <c r="H168" s="46">
        <f>SUM(C168:G168)</f>
        <v>9280</v>
      </c>
    </row>
    <row r="169" spans="1:9" hidden="1" x14ac:dyDescent="0.25">
      <c r="A169" s="80" t="s">
        <v>150</v>
      </c>
      <c r="C169" s="69">
        <f>C167-C168</f>
        <v>733735</v>
      </c>
      <c r="D169" s="69">
        <f>D167-D168</f>
        <v>248868</v>
      </c>
      <c r="E169" s="69">
        <f>E167-E168</f>
        <v>0</v>
      </c>
      <c r="F169" s="69">
        <f>F167-F168</f>
        <v>0</v>
      </c>
      <c r="G169" s="69">
        <f>G167-G168</f>
        <v>0</v>
      </c>
      <c r="H169" s="46">
        <f>SUM(C169:G169)</f>
        <v>982603</v>
      </c>
    </row>
    <row r="170" spans="1:9" hidden="1" x14ac:dyDescent="0.25">
      <c r="A170" s="34"/>
    </row>
    <row r="171" spans="1:9" ht="14.4" x14ac:dyDescent="0.3">
      <c r="A171" s="81"/>
    </row>
    <row r="172" spans="1:9" x14ac:dyDescent="0.25">
      <c r="A172" s="34"/>
    </row>
    <row r="173" spans="1:9" x14ac:dyDescent="0.25">
      <c r="A173" s="34"/>
    </row>
    <row r="174" spans="1:9" x14ac:dyDescent="0.25">
      <c r="A174" s="34"/>
    </row>
    <row r="175" spans="1:9" x14ac:dyDescent="0.25">
      <c r="A175" s="34"/>
    </row>
    <row r="176" spans="1:9" x14ac:dyDescent="0.25">
      <c r="A176" s="34"/>
    </row>
    <row r="177" spans="1:1" x14ac:dyDescent="0.25">
      <c r="A177" s="34"/>
    </row>
    <row r="178" spans="1:1" x14ac:dyDescent="0.25">
      <c r="A178" s="34"/>
    </row>
    <row r="179" spans="1:1" x14ac:dyDescent="0.25">
      <c r="A179" s="34"/>
    </row>
    <row r="180" spans="1:1" x14ac:dyDescent="0.25">
      <c r="A180" s="34"/>
    </row>
    <row r="181" spans="1:1" x14ac:dyDescent="0.25">
      <c r="A181" s="34"/>
    </row>
    <row r="182" spans="1:1" x14ac:dyDescent="0.25">
      <c r="A182" s="34"/>
    </row>
    <row r="183" spans="1:1" x14ac:dyDescent="0.25">
      <c r="A183" s="34"/>
    </row>
    <row r="184" spans="1:1" x14ac:dyDescent="0.25">
      <c r="A184" s="82"/>
    </row>
    <row r="185" spans="1:1" x14ac:dyDescent="0.25">
      <c r="A185" s="34"/>
    </row>
    <row r="186" spans="1:1" x14ac:dyDescent="0.25">
      <c r="A186" s="34"/>
    </row>
    <row r="187" spans="1:1" x14ac:dyDescent="0.25">
      <c r="A187" s="34"/>
    </row>
    <row r="188" spans="1:1" x14ac:dyDescent="0.25">
      <c r="A188" s="34"/>
    </row>
    <row r="189" spans="1:1" x14ac:dyDescent="0.25">
      <c r="A189" s="34"/>
    </row>
    <row r="190" spans="1:1" x14ac:dyDescent="0.25">
      <c r="A190" s="82"/>
    </row>
    <row r="191" spans="1:1" x14ac:dyDescent="0.25">
      <c r="A191" s="34"/>
    </row>
    <row r="192" spans="1:1" x14ac:dyDescent="0.25">
      <c r="A192" s="34"/>
    </row>
    <row r="193" spans="1:1" x14ac:dyDescent="0.25">
      <c r="A193" s="34"/>
    </row>
    <row r="194" spans="1:1" x14ac:dyDescent="0.25">
      <c r="A194" s="34"/>
    </row>
    <row r="195" spans="1:1" x14ac:dyDescent="0.25">
      <c r="A195" s="34"/>
    </row>
    <row r="196" spans="1:1" x14ac:dyDescent="0.25">
      <c r="A196" s="82"/>
    </row>
  </sheetData>
  <pageMargins left="0.11811023622047245" right="0.11811023622047245" top="0.55118110236220474" bottom="0.35433070866141736" header="0.31496062992125984" footer="0.31496062992125984"/>
  <pageSetup scale="54" fitToHeight="5" orientation="landscape" r:id="rId1"/>
  <headerFooter>
    <oddHeader>&amp;R&amp;P of &amp;N</oddHeader>
    <oddFooter>&amp;R&amp;F  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145"/>
  <sheetViews>
    <sheetView zoomScaleNormal="100" workbookViewId="0">
      <pane xSplit="1" ySplit="1" topLeftCell="B46" activePane="bottomRight" state="frozen"/>
      <selection pane="topRight" activeCell="B1" sqref="B1"/>
      <selection pane="bottomLeft" activeCell="A2" sqref="A2"/>
      <selection pane="bottomRight" activeCell="G68" sqref="G68"/>
    </sheetView>
  </sheetViews>
  <sheetFormatPr defaultColWidth="8.6640625" defaultRowHeight="13.8" outlineLevelCol="1" x14ac:dyDescent="0.25"/>
  <cols>
    <col min="1" max="1" width="53" style="108" bestFit="1" customWidth="1"/>
    <col min="2" max="2" width="15.6640625" style="11" customWidth="1" outlineLevel="1"/>
    <col min="3" max="3" width="12.6640625" style="11" bestFit="1" customWidth="1"/>
    <col min="4" max="4" width="14" style="8" customWidth="1"/>
    <col min="5" max="5" width="14.33203125" style="117" customWidth="1"/>
    <col min="6" max="6" width="35.6640625" style="127" customWidth="1"/>
    <col min="7" max="7" width="13.33203125" style="8" customWidth="1"/>
    <col min="8" max="8" width="12.6640625" style="117" customWidth="1"/>
    <col min="9" max="9" width="13.33203125" style="117" customWidth="1"/>
    <col min="10" max="10" width="12.6640625" style="8" bestFit="1" customWidth="1"/>
    <col min="11" max="11" width="12.33203125" style="117" customWidth="1"/>
    <col min="12" max="12" width="13.33203125" style="117" customWidth="1"/>
    <col min="13" max="13" width="12.6640625" style="8" customWidth="1"/>
    <col min="14" max="15" width="11.33203125" style="117" customWidth="1"/>
    <col min="16" max="16384" width="8.6640625" style="8"/>
  </cols>
  <sheetData>
    <row r="1" spans="1:15" s="5" customFormat="1" ht="42" x14ac:dyDescent="0.3">
      <c r="A1" s="100" t="s">
        <v>0</v>
      </c>
      <c r="B1" s="99" t="s">
        <v>1</v>
      </c>
      <c r="C1" s="3" t="s">
        <v>2</v>
      </c>
      <c r="D1" s="3" t="s">
        <v>3</v>
      </c>
      <c r="E1" s="116" t="s">
        <v>4</v>
      </c>
      <c r="F1" s="126" t="s">
        <v>5</v>
      </c>
      <c r="G1" s="3" t="s">
        <v>6</v>
      </c>
      <c r="H1" s="116" t="s">
        <v>7</v>
      </c>
      <c r="I1" s="116" t="s">
        <v>8</v>
      </c>
      <c r="J1" s="3" t="s">
        <v>9</v>
      </c>
      <c r="K1" s="116" t="s">
        <v>10</v>
      </c>
      <c r="L1" s="116" t="s">
        <v>11</v>
      </c>
      <c r="M1" s="3" t="s">
        <v>12</v>
      </c>
      <c r="N1" s="116" t="s">
        <v>13</v>
      </c>
      <c r="O1" s="116" t="s">
        <v>14</v>
      </c>
    </row>
    <row r="2" spans="1:15" x14ac:dyDescent="0.25">
      <c r="A2" s="101" t="s">
        <v>15</v>
      </c>
      <c r="B2" s="7"/>
      <c r="C2" s="7"/>
    </row>
    <row r="3" spans="1:15" x14ac:dyDescent="0.25">
      <c r="A3" s="102"/>
      <c r="B3" s="10"/>
      <c r="C3" s="10"/>
    </row>
    <row r="4" spans="1:15" x14ac:dyDescent="0.25">
      <c r="A4" s="102" t="s">
        <v>16</v>
      </c>
      <c r="B4" s="10">
        <f>'Detailed Support - ADSTV'!I20</f>
        <v>0</v>
      </c>
      <c r="C4" s="10">
        <f>'Detailed Support - ADSTV'!M20</f>
        <v>0</v>
      </c>
      <c r="D4" s="10">
        <f>'Detailed Support - ADSTV'!Q20</f>
        <v>0</v>
      </c>
      <c r="E4" s="118">
        <f>D4-C4</f>
        <v>0</v>
      </c>
      <c r="G4" s="10">
        <f>'Detailed Support - ADSTV'!U20</f>
        <v>0</v>
      </c>
      <c r="H4" s="118">
        <f>G4-D4</f>
        <v>0</v>
      </c>
      <c r="J4" s="10">
        <f>'Detailed Support - ADSTV'!Y20</f>
        <v>0</v>
      </c>
      <c r="M4" s="10">
        <f>'Detailed Support - ADSTV'!AC20</f>
        <v>0</v>
      </c>
    </row>
    <row r="5" spans="1:15" x14ac:dyDescent="0.25">
      <c r="A5" s="103" t="s">
        <v>17</v>
      </c>
      <c r="B5" s="10">
        <f>'Detailed Support - ADSTV'!I21</f>
        <v>4391024</v>
      </c>
      <c r="C5" s="10">
        <f>'Detailed Support - ADSTV'!M21</f>
        <v>4391024</v>
      </c>
      <c r="D5" s="10">
        <f>'Detailed Support - ADSTV'!Q21</f>
        <v>4391024</v>
      </c>
      <c r="E5" s="118">
        <f t="shared" ref="E5:E13" si="0">D5-C5</f>
        <v>0</v>
      </c>
      <c r="G5" s="10">
        <f>'Detailed Support - ADSTV'!U21</f>
        <v>4391024</v>
      </c>
      <c r="H5" s="118">
        <f t="shared" ref="H5:H13" si="1">G5-D5</f>
        <v>0</v>
      </c>
      <c r="J5" s="10">
        <f>'Detailed Support - ADSTV'!Y21</f>
        <v>4434934.24</v>
      </c>
      <c r="K5" s="118">
        <f>J5-G5</f>
        <v>43910.240000000224</v>
      </c>
      <c r="M5" s="10">
        <f>'Detailed Support - ADSTV'!AC21</f>
        <v>4479283.5824000007</v>
      </c>
      <c r="N5" s="138">
        <f>M5-J5</f>
        <v>44349.342400000431</v>
      </c>
    </row>
    <row r="6" spans="1:15" x14ac:dyDescent="0.25">
      <c r="A6" s="12" t="s">
        <v>204</v>
      </c>
      <c r="B6" s="10"/>
      <c r="C6" s="10"/>
      <c r="D6" s="10"/>
      <c r="E6" s="118"/>
      <c r="G6" s="10"/>
      <c r="H6" s="118"/>
      <c r="J6" s="10"/>
      <c r="K6" s="118"/>
      <c r="M6" s="10"/>
      <c r="N6" s="138"/>
    </row>
    <row r="7" spans="1:15" x14ac:dyDescent="0.25">
      <c r="A7" s="12" t="s">
        <v>205</v>
      </c>
      <c r="B7" s="10"/>
      <c r="C7" s="10"/>
      <c r="D7" s="10"/>
      <c r="E7" s="118"/>
      <c r="G7" s="10"/>
      <c r="H7" s="118"/>
      <c r="J7" s="10"/>
      <c r="K7" s="118"/>
      <c r="M7" s="10"/>
      <c r="N7" s="138"/>
    </row>
    <row r="8" spans="1:15" x14ac:dyDescent="0.25">
      <c r="A8" s="103" t="s">
        <v>18</v>
      </c>
      <c r="B8" s="10">
        <f>'Detailed Support - ADSTV'!I22</f>
        <v>0</v>
      </c>
      <c r="C8" s="10">
        <f>'Detailed Support - ADSTV'!M22</f>
        <v>0</v>
      </c>
      <c r="D8" s="10">
        <f>'Detailed Support - ADSTV'!Q22</f>
        <v>0</v>
      </c>
      <c r="E8" s="118">
        <f t="shared" si="0"/>
        <v>0</v>
      </c>
      <c r="G8" s="10">
        <f>'Detailed Support - ADSTV'!U22</f>
        <v>0</v>
      </c>
      <c r="H8" s="118">
        <f t="shared" si="1"/>
        <v>0</v>
      </c>
      <c r="J8" s="10">
        <f>'Detailed Support - ADSTV'!Y22</f>
        <v>0</v>
      </c>
      <c r="K8" s="118">
        <f t="shared" ref="K8:K13" si="2">J8-G8</f>
        <v>0</v>
      </c>
      <c r="M8" s="10">
        <f>'Detailed Support - ADSTV'!AC22</f>
        <v>0</v>
      </c>
    </row>
    <row r="9" spans="1:15" x14ac:dyDescent="0.25">
      <c r="A9" s="103" t="s">
        <v>19</v>
      </c>
      <c r="B9" s="10">
        <f>'Detailed Support - ADSTV'!I23</f>
        <v>0</v>
      </c>
      <c r="C9" s="10">
        <f>'Detailed Support - ADSTV'!M23</f>
        <v>0</v>
      </c>
      <c r="D9" s="10">
        <f>'Detailed Support - ADSTV'!Q23</f>
        <v>0</v>
      </c>
      <c r="E9" s="118">
        <f t="shared" si="0"/>
        <v>0</v>
      </c>
      <c r="G9" s="10">
        <f>'Detailed Support - ADSTV'!U23</f>
        <v>0</v>
      </c>
      <c r="H9" s="118">
        <f t="shared" si="1"/>
        <v>0</v>
      </c>
      <c r="J9" s="10">
        <f>'Detailed Support - ADSTV'!Y23</f>
        <v>0</v>
      </c>
      <c r="K9" s="118">
        <f t="shared" si="2"/>
        <v>0</v>
      </c>
      <c r="M9" s="10">
        <f>'Detailed Support - ADSTV'!AC23</f>
        <v>0</v>
      </c>
    </row>
    <row r="10" spans="1:15" x14ac:dyDescent="0.25">
      <c r="A10" s="104" t="s">
        <v>20</v>
      </c>
      <c r="B10" s="10">
        <f>'Detailed Support - ADSTV'!I24</f>
        <v>207845</v>
      </c>
      <c r="C10" s="10">
        <f>'Detailed Support - ADSTV'!M24</f>
        <v>207845</v>
      </c>
      <c r="D10" s="10">
        <f>'Detailed Support - ADSTV'!Q24</f>
        <v>207845</v>
      </c>
      <c r="E10" s="118">
        <f t="shared" si="0"/>
        <v>0</v>
      </c>
      <c r="G10" s="10">
        <f>'Detailed Support - ADSTV'!U24</f>
        <v>207845</v>
      </c>
      <c r="H10" s="118">
        <f t="shared" si="1"/>
        <v>0</v>
      </c>
      <c r="J10" s="10">
        <f>'Detailed Support - ADSTV'!Y24</f>
        <v>209923.45</v>
      </c>
      <c r="K10" s="118">
        <f t="shared" si="2"/>
        <v>2078.4500000000116</v>
      </c>
      <c r="M10" s="10">
        <f>'Detailed Support - ADSTV'!AC24</f>
        <v>212022.6845</v>
      </c>
      <c r="N10" s="138">
        <f>M10-J10</f>
        <v>2099.2344999999914</v>
      </c>
    </row>
    <row r="11" spans="1:15" x14ac:dyDescent="0.25">
      <c r="A11" s="104" t="s">
        <v>21</v>
      </c>
      <c r="B11" s="10">
        <f>'Detailed Support - ADSTV'!I25</f>
        <v>752948</v>
      </c>
      <c r="C11" s="10">
        <f>'Detailed Support - ADSTV'!M25</f>
        <v>695000</v>
      </c>
      <c r="D11" s="10">
        <f>'Detailed Support - ADSTV'!Q25</f>
        <v>695000</v>
      </c>
      <c r="E11" s="118">
        <f t="shared" si="0"/>
        <v>0</v>
      </c>
      <c r="G11" s="10">
        <f>'Detailed Support - ADSTV'!U25</f>
        <v>695000</v>
      </c>
      <c r="H11" s="118">
        <f t="shared" si="1"/>
        <v>0</v>
      </c>
      <c r="J11" s="10">
        <f>'Detailed Support - ADSTV'!Y25</f>
        <v>701950</v>
      </c>
      <c r="K11" s="118">
        <f t="shared" si="2"/>
        <v>6950</v>
      </c>
      <c r="M11" s="10">
        <f>'Detailed Support - ADSTV'!AC25</f>
        <v>708969.5</v>
      </c>
      <c r="N11" s="138">
        <f>M11-J11</f>
        <v>7019.5</v>
      </c>
    </row>
    <row r="12" spans="1:15" x14ac:dyDescent="0.25">
      <c r="A12" s="104" t="s">
        <v>22</v>
      </c>
      <c r="B12" s="10">
        <f>'Detailed Support - ADSTV'!I26</f>
        <v>0</v>
      </c>
      <c r="C12" s="10">
        <f>'Detailed Support - ADSTV'!M26</f>
        <v>0</v>
      </c>
      <c r="D12" s="10">
        <f>'Detailed Support - ADSTV'!Q26</f>
        <v>0</v>
      </c>
      <c r="E12" s="118">
        <f t="shared" si="0"/>
        <v>0</v>
      </c>
      <c r="G12" s="10">
        <f>'Detailed Support - ADSTV'!U26</f>
        <v>0</v>
      </c>
      <c r="H12" s="118">
        <f t="shared" si="1"/>
        <v>0</v>
      </c>
      <c r="J12" s="10">
        <f>'Detailed Support - ADSTV'!Y26</f>
        <v>0</v>
      </c>
      <c r="K12" s="118">
        <f t="shared" si="2"/>
        <v>0</v>
      </c>
      <c r="M12" s="10">
        <f>'Detailed Support - ADSTV'!AC26</f>
        <v>0</v>
      </c>
    </row>
    <row r="13" spans="1:15" ht="15" customHeight="1" x14ac:dyDescent="0.25">
      <c r="A13" s="94" t="s">
        <v>23</v>
      </c>
      <c r="B13" s="10">
        <f>'Detailed Support - ADSTV'!I27</f>
        <v>0</v>
      </c>
      <c r="C13" s="10">
        <f>'Detailed Support - ADSTV'!M27</f>
        <v>0</v>
      </c>
      <c r="D13" s="10">
        <f>'Detailed Support - ADSTV'!Q27</f>
        <v>0</v>
      </c>
      <c r="E13" s="118">
        <f t="shared" si="0"/>
        <v>0</v>
      </c>
      <c r="G13" s="10">
        <f>'Detailed Support - ADSTV'!U27</f>
        <v>0</v>
      </c>
      <c r="H13" s="118">
        <f t="shared" si="1"/>
        <v>0</v>
      </c>
      <c r="J13" s="10">
        <f>'Detailed Support - ADSTV'!Y27</f>
        <v>0</v>
      </c>
      <c r="K13" s="118">
        <f t="shared" si="2"/>
        <v>0</v>
      </c>
      <c r="M13" s="10">
        <f>'Detailed Support - ADSTV'!AC27</f>
        <v>0</v>
      </c>
    </row>
    <row r="14" spans="1:15" s="115" customFormat="1" ht="14.4" thickBot="1" x14ac:dyDescent="0.3">
      <c r="A14" s="102" t="s">
        <v>24</v>
      </c>
      <c r="B14" s="15">
        <f t="shared" ref="B14:H14" si="3">SUM(B4:B13)</f>
        <v>5351817</v>
      </c>
      <c r="C14" s="15">
        <f t="shared" si="3"/>
        <v>5293869</v>
      </c>
      <c r="D14" s="15">
        <f t="shared" si="3"/>
        <v>5293869</v>
      </c>
      <c r="E14" s="119">
        <f t="shared" si="3"/>
        <v>0</v>
      </c>
      <c r="F14" s="128">
        <f t="shared" si="3"/>
        <v>0</v>
      </c>
      <c r="G14" s="15">
        <f t="shared" si="3"/>
        <v>5293869</v>
      </c>
      <c r="H14" s="119">
        <f t="shared" si="3"/>
        <v>0</v>
      </c>
      <c r="I14" s="135"/>
      <c r="J14" s="15">
        <f>SUM(J4:J13)</f>
        <v>5346807.6900000004</v>
      </c>
      <c r="K14" s="119">
        <f>SUM(K4:K13)</f>
        <v>52938.690000000235</v>
      </c>
      <c r="L14" s="119">
        <f>SUM(L4:L13)</f>
        <v>0</v>
      </c>
      <c r="M14" s="15">
        <f>SUM(M4:M13)</f>
        <v>5400275.7669000011</v>
      </c>
      <c r="N14" s="119">
        <f>SUM(N4:N13)</f>
        <v>53468.076900000422</v>
      </c>
      <c r="O14" s="135"/>
    </row>
    <row r="15" spans="1:15" ht="14.4" thickTop="1" x14ac:dyDescent="0.25">
      <c r="A15" s="102"/>
      <c r="B15" s="17"/>
      <c r="C15" s="17"/>
      <c r="D15" s="17"/>
      <c r="G15" s="17"/>
      <c r="J15" s="17"/>
      <c r="M15" s="17"/>
    </row>
    <row r="16" spans="1:15" ht="14.7" customHeight="1" x14ac:dyDescent="0.25">
      <c r="A16" s="102" t="s">
        <v>25</v>
      </c>
      <c r="B16" s="10">
        <f>'Detailed Support - ADSTV'!I30</f>
        <v>282612</v>
      </c>
      <c r="C16" s="10">
        <f>'Detailed Support - ADSTV'!M30</f>
        <v>228636</v>
      </c>
      <c r="D16" s="10">
        <f>'Detailed Support - ADSTV'!Q30</f>
        <v>228636</v>
      </c>
      <c r="E16" s="118">
        <f>D16-C16</f>
        <v>0</v>
      </c>
      <c r="G16" s="10">
        <f>'Detailed Support - ADSTV'!U30</f>
        <v>228636</v>
      </c>
      <c r="H16" s="118">
        <f>G16-D16</f>
        <v>0</v>
      </c>
      <c r="I16" s="136"/>
      <c r="J16" s="10">
        <f>'Detailed Support - ADSTV'!Y30</f>
        <v>228636</v>
      </c>
      <c r="K16" s="118">
        <f t="shared" ref="K16:K23" si="4">J16-G16</f>
        <v>0</v>
      </c>
      <c r="L16" s="136"/>
      <c r="M16" s="10">
        <f>'Detailed Support - ADSTV'!AC30</f>
        <v>233231.99999999997</v>
      </c>
      <c r="N16" s="138">
        <f t="shared" ref="N16:N22" si="5">M16-J16</f>
        <v>4595.9999999999709</v>
      </c>
    </row>
    <row r="17" spans="1:15" x14ac:dyDescent="0.25">
      <c r="A17" s="94" t="s">
        <v>26</v>
      </c>
      <c r="B17" s="10">
        <f>'Detailed Support - ADSTV'!I31</f>
        <v>0</v>
      </c>
      <c r="C17" s="10">
        <f>'Detailed Support - ADSTV'!M31</f>
        <v>0</v>
      </c>
      <c r="D17" s="10">
        <f>'Detailed Support - ADSTV'!Q31</f>
        <v>0</v>
      </c>
      <c r="E17" s="118">
        <f t="shared" ref="E17:E24" si="6">D17-C17</f>
        <v>0</v>
      </c>
      <c r="G17" s="10">
        <f>'Detailed Support - ADSTV'!U31</f>
        <v>0</v>
      </c>
      <c r="H17" s="118">
        <f t="shared" ref="H17:H24" si="7">G17-D17</f>
        <v>0</v>
      </c>
      <c r="I17" s="136"/>
      <c r="J17" s="10">
        <f>'Detailed Support - ADSTV'!Y31</f>
        <v>0</v>
      </c>
      <c r="K17" s="118">
        <f t="shared" si="4"/>
        <v>0</v>
      </c>
      <c r="L17" s="136"/>
      <c r="M17" s="10">
        <f>'Detailed Support - ADSTV'!AC31</f>
        <v>0</v>
      </c>
      <c r="N17" s="138">
        <f t="shared" si="5"/>
        <v>0</v>
      </c>
    </row>
    <row r="18" spans="1:15" x14ac:dyDescent="0.25">
      <c r="A18" s="94" t="s">
        <v>27</v>
      </c>
      <c r="B18" s="10">
        <f>'Detailed Support - ADSTV'!I32</f>
        <v>27500</v>
      </c>
      <c r="C18" s="10">
        <f>'Detailed Support - ADSTV'!M32</f>
        <v>0</v>
      </c>
      <c r="D18" s="10">
        <f>'Detailed Support - ADSTV'!Q32</f>
        <v>0</v>
      </c>
      <c r="E18" s="118">
        <f t="shared" si="6"/>
        <v>0</v>
      </c>
      <c r="G18" s="10">
        <f>'Detailed Support - ADSTV'!U32</f>
        <v>0</v>
      </c>
      <c r="H18" s="118">
        <f t="shared" si="7"/>
        <v>0</v>
      </c>
      <c r="I18" s="136"/>
      <c r="J18" s="10">
        <f>'Detailed Support - ADSTV'!Y32</f>
        <v>0</v>
      </c>
      <c r="K18" s="118">
        <f t="shared" si="4"/>
        <v>0</v>
      </c>
      <c r="L18" s="136"/>
      <c r="M18" s="10">
        <f>'Detailed Support - ADSTV'!AC32</f>
        <v>0</v>
      </c>
      <c r="N18" s="138">
        <f t="shared" si="5"/>
        <v>0</v>
      </c>
    </row>
    <row r="19" spans="1:15" x14ac:dyDescent="0.25">
      <c r="A19" s="94" t="s">
        <v>28</v>
      </c>
      <c r="B19" s="10">
        <f>'Detailed Support - ADSTV'!I33</f>
        <v>0</v>
      </c>
      <c r="C19" s="10">
        <f>'Detailed Support - ADSTV'!M33</f>
        <v>0</v>
      </c>
      <c r="D19" s="10">
        <f>'Detailed Support - ADSTV'!Q33</f>
        <v>0</v>
      </c>
      <c r="E19" s="118">
        <f t="shared" si="6"/>
        <v>0</v>
      </c>
      <c r="G19" s="10">
        <f>'Detailed Support - ADSTV'!U33</f>
        <v>0</v>
      </c>
      <c r="H19" s="118">
        <f t="shared" si="7"/>
        <v>0</v>
      </c>
      <c r="I19" s="136"/>
      <c r="J19" s="10">
        <f>'Detailed Support - ADSTV'!Y33</f>
        <v>0</v>
      </c>
      <c r="K19" s="118">
        <f t="shared" si="4"/>
        <v>0</v>
      </c>
      <c r="L19" s="136"/>
      <c r="M19" s="10">
        <f>'Detailed Support - ADSTV'!AC33</f>
        <v>0</v>
      </c>
      <c r="N19" s="138">
        <f t="shared" si="5"/>
        <v>0</v>
      </c>
    </row>
    <row r="20" spans="1:15" x14ac:dyDescent="0.25">
      <c r="A20" s="94" t="s">
        <v>29</v>
      </c>
      <c r="B20" s="10">
        <f>'Detailed Support - ADSTV'!I34</f>
        <v>0</v>
      </c>
      <c r="C20" s="10">
        <f>'Detailed Support - ADSTV'!M34</f>
        <v>0</v>
      </c>
      <c r="D20" s="10">
        <f>'Detailed Support - ADSTV'!Q34</f>
        <v>0</v>
      </c>
      <c r="E20" s="118">
        <f t="shared" si="6"/>
        <v>0</v>
      </c>
      <c r="G20" s="10">
        <f>'Detailed Support - ADSTV'!U34</f>
        <v>0</v>
      </c>
      <c r="H20" s="118">
        <f t="shared" si="7"/>
        <v>0</v>
      </c>
      <c r="I20" s="136"/>
      <c r="J20" s="10">
        <f>'Detailed Support - ADSTV'!Y34</f>
        <v>0</v>
      </c>
      <c r="K20" s="118">
        <f t="shared" si="4"/>
        <v>0</v>
      </c>
      <c r="L20" s="136"/>
      <c r="M20" s="10">
        <f>'Detailed Support - ADSTV'!AC34</f>
        <v>0</v>
      </c>
      <c r="N20" s="138">
        <f t="shared" si="5"/>
        <v>0</v>
      </c>
    </row>
    <row r="21" spans="1:15" x14ac:dyDescent="0.25">
      <c r="A21" s="94" t="s">
        <v>30</v>
      </c>
      <c r="B21" s="10">
        <f>'Detailed Support - ADSTV'!I35</f>
        <v>0</v>
      </c>
      <c r="C21" s="10">
        <f>'Detailed Support - ADSTV'!M35</f>
        <v>0</v>
      </c>
      <c r="D21" s="10">
        <f>'Detailed Support - ADSTV'!Q35</f>
        <v>0</v>
      </c>
      <c r="E21" s="118">
        <f t="shared" si="6"/>
        <v>0</v>
      </c>
      <c r="G21" s="10">
        <f>'Detailed Support - ADSTV'!U35</f>
        <v>0</v>
      </c>
      <c r="H21" s="118">
        <f t="shared" si="7"/>
        <v>0</v>
      </c>
      <c r="I21" s="136"/>
      <c r="J21" s="10">
        <f>'Detailed Support - ADSTV'!Y35</f>
        <v>0</v>
      </c>
      <c r="K21" s="118">
        <f t="shared" si="4"/>
        <v>0</v>
      </c>
      <c r="L21" s="136"/>
      <c r="M21" s="10">
        <f>'Detailed Support - ADSTV'!AC35</f>
        <v>0</v>
      </c>
      <c r="N21" s="138">
        <f t="shared" si="5"/>
        <v>0</v>
      </c>
    </row>
    <row r="22" spans="1:15" x14ac:dyDescent="0.25">
      <c r="A22" s="94" t="s">
        <v>31</v>
      </c>
      <c r="B22" s="10">
        <f>'Detailed Support - ADSTV'!I36</f>
        <v>90000</v>
      </c>
      <c r="C22" s="10">
        <f>'Detailed Support - ADSTV'!M36</f>
        <v>90000</v>
      </c>
      <c r="D22" s="10">
        <f>'Detailed Support - ADSTV'!Q36</f>
        <v>90000</v>
      </c>
      <c r="E22" s="118">
        <f t="shared" si="6"/>
        <v>0</v>
      </c>
      <c r="G22" s="10">
        <f>'Detailed Support - ADSTV'!U36</f>
        <v>90000</v>
      </c>
      <c r="H22" s="118">
        <f t="shared" si="7"/>
        <v>0</v>
      </c>
      <c r="I22" s="136"/>
      <c r="J22" s="10">
        <f>'Detailed Support - ADSTV'!Y36</f>
        <v>90000</v>
      </c>
      <c r="K22" s="118">
        <f t="shared" si="4"/>
        <v>0</v>
      </c>
      <c r="L22" s="136"/>
      <c r="M22" s="10">
        <f>'Detailed Support - ADSTV'!AC36</f>
        <v>90000</v>
      </c>
      <c r="N22" s="138">
        <f t="shared" si="5"/>
        <v>0</v>
      </c>
    </row>
    <row r="23" spans="1:15" x14ac:dyDescent="0.25">
      <c r="A23" s="102"/>
      <c r="B23" s="10">
        <f>'Detailed Support - ADSTV'!I37</f>
        <v>0</v>
      </c>
      <c r="C23" s="10">
        <f>'Detailed Support - ADSTV'!M37</f>
        <v>0</v>
      </c>
      <c r="D23" s="10">
        <f>'Detailed Support - ADSTV'!Q37</f>
        <v>0</v>
      </c>
      <c r="E23" s="118">
        <f t="shared" si="6"/>
        <v>0</v>
      </c>
      <c r="G23" s="10">
        <f>'Detailed Support - ADSTV'!U37</f>
        <v>0</v>
      </c>
      <c r="H23" s="118">
        <f t="shared" si="7"/>
        <v>0</v>
      </c>
      <c r="I23" s="136"/>
      <c r="J23" s="10">
        <f>'Detailed Support - ADSTV'!Y37</f>
        <v>0</v>
      </c>
      <c r="K23" s="118">
        <f t="shared" si="4"/>
        <v>0</v>
      </c>
      <c r="L23" s="136"/>
      <c r="M23" s="10">
        <f>'Detailed Support - ADSTV'!AC37</f>
        <v>0</v>
      </c>
    </row>
    <row r="24" spans="1:15" x14ac:dyDescent="0.25">
      <c r="A24" s="94" t="s">
        <v>32</v>
      </c>
      <c r="B24" s="10">
        <f>'Detailed Support - ADSTV'!I38</f>
        <v>0</v>
      </c>
      <c r="C24" s="10">
        <f>'Detailed Support - ADSTV'!M38</f>
        <v>0</v>
      </c>
      <c r="D24" s="10">
        <f>'Detailed Support - ADSTV'!Q38</f>
        <v>0</v>
      </c>
      <c r="E24" s="118">
        <f t="shared" si="6"/>
        <v>0</v>
      </c>
      <c r="G24" s="10">
        <f>'Detailed Support - ADSTV'!U38</f>
        <v>0</v>
      </c>
      <c r="H24" s="118">
        <f t="shared" si="7"/>
        <v>0</v>
      </c>
      <c r="J24" s="10">
        <f>'Detailed Support - ADSTV'!Y38</f>
        <v>0</v>
      </c>
      <c r="K24" s="118">
        <f>J24-G24</f>
        <v>0</v>
      </c>
      <c r="M24" s="10">
        <f>'Detailed Support - ADSTV'!AC38</f>
        <v>0</v>
      </c>
    </row>
    <row r="25" spans="1:15" s="115" customFormat="1" ht="14.4" thickBot="1" x14ac:dyDescent="0.3">
      <c r="A25" s="102" t="s">
        <v>33</v>
      </c>
      <c r="B25" s="184">
        <f t="shared" ref="B25:H25" si="8">SUM(B14:B24)</f>
        <v>5751929</v>
      </c>
      <c r="C25" s="184">
        <f t="shared" si="8"/>
        <v>5612505</v>
      </c>
      <c r="D25" s="20">
        <f t="shared" si="8"/>
        <v>5612505</v>
      </c>
      <c r="E25" s="120">
        <f t="shared" si="8"/>
        <v>0</v>
      </c>
      <c r="F25" s="129">
        <f t="shared" si="8"/>
        <v>0</v>
      </c>
      <c r="G25" s="20">
        <f t="shared" si="8"/>
        <v>5612505</v>
      </c>
      <c r="H25" s="120">
        <f t="shared" si="8"/>
        <v>0</v>
      </c>
      <c r="I25" s="135"/>
      <c r="J25" s="20">
        <f>SUM(J14:J24)</f>
        <v>5665443.6900000004</v>
      </c>
      <c r="K25" s="120">
        <f>SUM(K14:K24)</f>
        <v>52938.690000000235</v>
      </c>
      <c r="L25" s="120">
        <f>SUM(L14:L24)</f>
        <v>0</v>
      </c>
      <c r="M25" s="20">
        <f>SUM(M14:M24)</f>
        <v>5723507.7669000011</v>
      </c>
      <c r="N25" s="120">
        <f>SUM(N14:N24)</f>
        <v>58064.076900000393</v>
      </c>
      <c r="O25" s="135"/>
    </row>
    <row r="26" spans="1:15" ht="14.4" thickTop="1" x14ac:dyDescent="0.25">
      <c r="A26" s="102"/>
      <c r="B26" s="19"/>
      <c r="C26" s="19"/>
      <c r="D26" s="19"/>
      <c r="G26" s="19"/>
      <c r="J26" s="19"/>
      <c r="M26" s="19"/>
    </row>
    <row r="27" spans="1:15" x14ac:dyDescent="0.25">
      <c r="A27" s="101" t="s">
        <v>34</v>
      </c>
      <c r="B27" s="10"/>
      <c r="C27" s="10"/>
      <c r="D27" s="10"/>
      <c r="G27" s="10"/>
      <c r="J27" s="10"/>
      <c r="M27" s="10"/>
    </row>
    <row r="28" spans="1:15" ht="25.2" customHeight="1" x14ac:dyDescent="0.25">
      <c r="A28" s="102" t="s">
        <v>35</v>
      </c>
      <c r="B28" s="19"/>
      <c r="C28" s="19"/>
      <c r="D28" s="19"/>
      <c r="G28" s="19"/>
      <c r="J28" s="19"/>
      <c r="M28" s="19"/>
    </row>
    <row r="29" spans="1:15" x14ac:dyDescent="0.25">
      <c r="A29" s="94" t="s">
        <v>36</v>
      </c>
      <c r="B29" s="19">
        <f>'Detailed Support - ADSTV'!I44</f>
        <v>461035</v>
      </c>
      <c r="C29" s="19">
        <f>'Detailed Support - ADSTV'!M44</f>
        <v>489617.00000000006</v>
      </c>
      <c r="D29" s="19">
        <f>'Detailed Support - ADSTV'!Q44</f>
        <v>498097</v>
      </c>
      <c r="E29" s="118">
        <f>D29-C29</f>
        <v>8479.9999999999418</v>
      </c>
      <c r="G29" s="19">
        <f>'Detailed Support - ADSTV'!U44</f>
        <v>505993</v>
      </c>
      <c r="H29" s="118">
        <f>G29-D29</f>
        <v>7896</v>
      </c>
      <c r="I29" s="136"/>
      <c r="J29" s="19">
        <f>'Detailed Support - ADSTV'!Y44</f>
        <v>514093.00000000006</v>
      </c>
      <c r="K29" s="118">
        <f>J29-G29</f>
        <v>8100.0000000000582</v>
      </c>
      <c r="L29" s="136"/>
      <c r="M29" s="19">
        <f>'Detailed Support - ADSTV'!AC44</f>
        <v>522252.99999999994</v>
      </c>
      <c r="N29" s="138">
        <f>M29-J29</f>
        <v>8159.9999999998836</v>
      </c>
    </row>
    <row r="30" spans="1:15" x14ac:dyDescent="0.25">
      <c r="A30" s="182" t="s">
        <v>37</v>
      </c>
      <c r="B30" s="183">
        <f>'Detailed Support - ADSTV'!I45</f>
        <v>3326245</v>
      </c>
      <c r="C30" s="183">
        <f>'Detailed Support - ADSTV'!M45</f>
        <v>3146337</v>
      </c>
      <c r="D30" s="19">
        <f>'Detailed Support - ADSTV'!Q45</f>
        <v>3258548.0000000005</v>
      </c>
      <c r="E30" s="118">
        <f>D30-C30</f>
        <v>112211.00000000047</v>
      </c>
      <c r="G30" s="19">
        <f>'Detailed Support - ADSTV'!U45</f>
        <v>3329067</v>
      </c>
      <c r="H30" s="118">
        <f>G30-D30</f>
        <v>70518.999999999534</v>
      </c>
      <c r="I30" s="136"/>
      <c r="J30" s="19">
        <f>'Detailed Support - ADSTV'!Y45</f>
        <v>3393790</v>
      </c>
      <c r="K30" s="118">
        <f>J30-G30</f>
        <v>64723</v>
      </c>
      <c r="L30" s="136"/>
      <c r="M30" s="19">
        <f>'Detailed Support - ADSTV'!AC45</f>
        <v>3443956</v>
      </c>
      <c r="N30" s="138">
        <f>M30-J30</f>
        <v>50166</v>
      </c>
    </row>
    <row r="31" spans="1:15" x14ac:dyDescent="0.25">
      <c r="A31" s="94" t="s">
        <v>38</v>
      </c>
      <c r="B31" s="19">
        <f>'Detailed Support - ADSTV'!I46</f>
        <v>0</v>
      </c>
      <c r="C31" s="19">
        <f>'Detailed Support - ADSTV'!M46</f>
        <v>0</v>
      </c>
      <c r="D31" s="19">
        <f>'Detailed Support - ADSTV'!Q46</f>
        <v>0</v>
      </c>
      <c r="G31" s="19">
        <f>'Detailed Support - ADSTV'!U46</f>
        <v>0</v>
      </c>
      <c r="H31" s="118">
        <f>G31-D31</f>
        <v>0</v>
      </c>
      <c r="J31" s="19">
        <f>'Detailed Support - ADSTV'!Y46</f>
        <v>0</v>
      </c>
      <c r="K31" s="118">
        <f>J31-G31</f>
        <v>0</v>
      </c>
      <c r="M31" s="19">
        <f>'Detailed Support - ADSTV'!AC46</f>
        <v>0</v>
      </c>
    </row>
    <row r="32" spans="1:15" s="13" customFormat="1" x14ac:dyDescent="0.25">
      <c r="A32" s="102" t="s">
        <v>39</v>
      </c>
      <c r="B32" s="114">
        <f>SUM(B29:B31)</f>
        <v>3787280</v>
      </c>
      <c r="C32" s="114">
        <f>SUM(C29:C31)</f>
        <v>3635954</v>
      </c>
      <c r="D32" s="114">
        <f>SUM(D29:D31)</f>
        <v>3756645.0000000005</v>
      </c>
      <c r="E32" s="121">
        <f t="shared" ref="E32:O32" si="9">SUM(E29:E31)</f>
        <v>120691.00000000041</v>
      </c>
      <c r="F32" s="130">
        <f t="shared" si="9"/>
        <v>0</v>
      </c>
      <c r="G32" s="114">
        <f>SUM(G29:G31)</f>
        <v>3835060</v>
      </c>
      <c r="H32" s="121">
        <f t="shared" si="9"/>
        <v>78414.999999999534</v>
      </c>
      <c r="I32" s="121">
        <f t="shared" si="9"/>
        <v>0</v>
      </c>
      <c r="J32" s="114">
        <f>SUM(J29:J31)</f>
        <v>3907883</v>
      </c>
      <c r="K32" s="121">
        <f t="shared" si="9"/>
        <v>72823.000000000058</v>
      </c>
      <c r="L32" s="121">
        <f t="shared" si="9"/>
        <v>0</v>
      </c>
      <c r="M32" s="114">
        <f>SUM(M29:M31)</f>
        <v>3966209</v>
      </c>
      <c r="N32" s="121">
        <f t="shared" si="9"/>
        <v>58325.999999999884</v>
      </c>
      <c r="O32" s="121">
        <f t="shared" si="9"/>
        <v>0</v>
      </c>
    </row>
    <row r="33" spans="1:15" s="13" customFormat="1" x14ac:dyDescent="0.25">
      <c r="A33" s="102"/>
      <c r="B33" s="151"/>
      <c r="C33" s="151"/>
      <c r="D33" s="151"/>
      <c r="E33" s="163"/>
      <c r="F33" s="164"/>
      <c r="G33" s="151"/>
      <c r="H33" s="163"/>
      <c r="I33" s="163"/>
      <c r="J33" s="151"/>
      <c r="K33" s="163"/>
      <c r="L33" s="163"/>
      <c r="M33" s="151"/>
      <c r="N33" s="163"/>
      <c r="O33" s="163"/>
    </row>
    <row r="34" spans="1:15" x14ac:dyDescent="0.25">
      <c r="A34" s="94" t="s">
        <v>40</v>
      </c>
      <c r="B34" s="10">
        <f>'Detailed Support - ADSTV'!I49</f>
        <v>739835</v>
      </c>
      <c r="C34" s="10">
        <f>'Detailed Support - ADSTV'!M49</f>
        <v>718910</v>
      </c>
      <c r="D34" s="10">
        <f>'Detailed Support - ADSTV'!Q49</f>
        <v>747318</v>
      </c>
      <c r="E34" s="118">
        <f>D34-C34</f>
        <v>28408</v>
      </c>
      <c r="G34" s="10">
        <f>'Detailed Support - ADSTV'!U49</f>
        <v>765948</v>
      </c>
      <c r="H34" s="118">
        <f>G34-D34</f>
        <v>18630</v>
      </c>
      <c r="I34" s="136"/>
      <c r="J34" s="10">
        <f>'Detailed Support - ADSTV'!Y49</f>
        <v>783129</v>
      </c>
      <c r="K34" s="118">
        <f>J34-G34</f>
        <v>17181</v>
      </c>
      <c r="L34" s="136"/>
      <c r="M34" s="10">
        <f>'Detailed Support - ADSTV'!AC49</f>
        <v>795670.00000000012</v>
      </c>
      <c r="N34" s="138">
        <f>M34-J34</f>
        <v>12541.000000000116</v>
      </c>
    </row>
    <row r="35" spans="1:15" s="74" customFormat="1" x14ac:dyDescent="0.25">
      <c r="A35" s="102" t="s">
        <v>41</v>
      </c>
      <c r="B35" s="22">
        <f>SUM(B32:B34)</f>
        <v>4527115</v>
      </c>
      <c r="C35" s="22">
        <f>SUM(C32:C34)</f>
        <v>4354864</v>
      </c>
      <c r="D35" s="22">
        <f>SUM(D32:D34)</f>
        <v>4503963</v>
      </c>
      <c r="E35" s="122">
        <f t="shared" ref="E35:N35" si="10">SUM(E32:E34)</f>
        <v>149099.00000000041</v>
      </c>
      <c r="F35" s="131">
        <f t="shared" si="10"/>
        <v>0</v>
      </c>
      <c r="G35" s="22">
        <f>SUM(G32:G34)</f>
        <v>4601008</v>
      </c>
      <c r="H35" s="122">
        <f t="shared" si="10"/>
        <v>97044.999999999534</v>
      </c>
      <c r="I35" s="122">
        <f t="shared" si="10"/>
        <v>0</v>
      </c>
      <c r="J35" s="22">
        <f>SUM(J32:J34)</f>
        <v>4691012</v>
      </c>
      <c r="K35" s="122">
        <f t="shared" si="10"/>
        <v>90004.000000000058</v>
      </c>
      <c r="L35" s="122">
        <f t="shared" si="10"/>
        <v>0</v>
      </c>
      <c r="M35" s="22">
        <f>SUM(M32:M34)</f>
        <v>4761879</v>
      </c>
      <c r="N35" s="122">
        <f t="shared" si="10"/>
        <v>70867</v>
      </c>
      <c r="O35" s="139"/>
    </row>
    <row r="36" spans="1:15" x14ac:dyDescent="0.25">
      <c r="A36" s="102"/>
      <c r="B36" s="19"/>
      <c r="C36" s="19"/>
      <c r="D36" s="19"/>
      <c r="G36" s="19"/>
      <c r="J36" s="19"/>
      <c r="M36" s="19"/>
    </row>
    <row r="37" spans="1:15" ht="25.2" customHeight="1" x14ac:dyDescent="0.25">
      <c r="A37" s="94" t="s">
        <v>42</v>
      </c>
      <c r="B37" s="19"/>
      <c r="C37" s="19"/>
      <c r="D37" s="19"/>
      <c r="G37" s="19"/>
      <c r="J37" s="19"/>
      <c r="M37" s="19"/>
    </row>
    <row r="38" spans="1:15" x14ac:dyDescent="0.25">
      <c r="A38" s="94" t="s">
        <v>43</v>
      </c>
      <c r="B38" s="19">
        <f>'Detailed Support - ADSTV'!I53</f>
        <v>67500</v>
      </c>
      <c r="C38" s="19">
        <f>'Detailed Support - ADSTV'!M53</f>
        <v>64000</v>
      </c>
      <c r="D38" s="19">
        <f>'Detailed Support - ADSTV'!Q53</f>
        <v>65280</v>
      </c>
      <c r="E38" s="118">
        <f>D38-C38</f>
        <v>1280</v>
      </c>
      <c r="G38" s="19">
        <f>'Detailed Support - ADSTV'!U53</f>
        <v>66585.600000000006</v>
      </c>
      <c r="H38" s="118">
        <f>G38-D38</f>
        <v>1305.6000000000058</v>
      </c>
      <c r="J38" s="19">
        <f>'Detailed Support - ADSTV'!Y53</f>
        <v>67917.312000000005</v>
      </c>
      <c r="K38" s="118">
        <f>J38-G38</f>
        <v>1331.7119999999995</v>
      </c>
      <c r="M38" s="19">
        <f>'Detailed Support - ADSTV'!AC53</f>
        <v>69275.658240000004</v>
      </c>
      <c r="N38" s="138">
        <f>M38-J38</f>
        <v>1358.3462399999989</v>
      </c>
    </row>
    <row r="39" spans="1:15" x14ac:dyDescent="0.25">
      <c r="A39" s="94" t="s">
        <v>44</v>
      </c>
      <c r="B39" s="19">
        <f>'Detailed Support - ADSTV'!I54</f>
        <v>53500</v>
      </c>
      <c r="C39" s="19">
        <f>'Detailed Support - ADSTV'!M54</f>
        <v>50000</v>
      </c>
      <c r="D39" s="19">
        <f>'Detailed Support - ADSTV'!Q54</f>
        <v>51000</v>
      </c>
      <c r="E39" s="118">
        <f>D39-C39</f>
        <v>1000</v>
      </c>
      <c r="G39" s="19">
        <f>'Detailed Support - ADSTV'!U54</f>
        <v>52020</v>
      </c>
      <c r="H39" s="118">
        <f>G39-D39</f>
        <v>1020</v>
      </c>
      <c r="J39" s="19">
        <f>'Detailed Support - ADSTV'!Y54</f>
        <v>53060.4</v>
      </c>
      <c r="K39" s="118">
        <f>J39-G39</f>
        <v>1040.4000000000015</v>
      </c>
      <c r="M39" s="19">
        <f>'Detailed Support - ADSTV'!AC54</f>
        <v>54121.608</v>
      </c>
      <c r="N39" s="138">
        <f>M39-J39</f>
        <v>1061.2079999999987</v>
      </c>
    </row>
    <row r="40" spans="1:15" s="74" customFormat="1" x14ac:dyDescent="0.25">
      <c r="A40" s="102" t="s">
        <v>45</v>
      </c>
      <c r="B40" s="22">
        <f>SUM(B38:B39)</f>
        <v>121000</v>
      </c>
      <c r="C40" s="22">
        <f>SUM(C38:C39)</f>
        <v>114000</v>
      </c>
      <c r="D40" s="22">
        <f>SUM(D38:D39)</f>
        <v>116280</v>
      </c>
      <c r="E40" s="122">
        <f t="shared" ref="E40:N40" si="11">SUM(E38:E39)</f>
        <v>2280</v>
      </c>
      <c r="F40" s="131">
        <f t="shared" si="11"/>
        <v>0</v>
      </c>
      <c r="G40" s="22">
        <f>SUM(G38:G39)</f>
        <v>118605.6</v>
      </c>
      <c r="H40" s="122">
        <f t="shared" si="11"/>
        <v>2325.6000000000058</v>
      </c>
      <c r="I40" s="122">
        <f t="shared" si="11"/>
        <v>0</v>
      </c>
      <c r="J40" s="22">
        <f>SUM(J38:J39)</f>
        <v>120977.712</v>
      </c>
      <c r="K40" s="122">
        <f t="shared" si="11"/>
        <v>2372.112000000001</v>
      </c>
      <c r="L40" s="122">
        <f t="shared" si="11"/>
        <v>0</v>
      </c>
      <c r="M40" s="22">
        <f>SUM(M38:M39)</f>
        <v>123397.26624</v>
      </c>
      <c r="N40" s="122">
        <f t="shared" si="11"/>
        <v>2419.5542399999977</v>
      </c>
      <c r="O40" s="139"/>
    </row>
    <row r="41" spans="1:15" x14ac:dyDescent="0.25">
      <c r="A41" s="102"/>
      <c r="B41" s="19"/>
      <c r="C41" s="19"/>
      <c r="D41" s="19"/>
      <c r="G41" s="19"/>
      <c r="J41" s="19"/>
      <c r="M41" s="19"/>
    </row>
    <row r="42" spans="1:15" ht="25.2" customHeight="1" x14ac:dyDescent="0.25">
      <c r="A42" s="102" t="s">
        <v>46</v>
      </c>
      <c r="B42" s="19"/>
      <c r="C42" s="19"/>
      <c r="D42" s="19"/>
      <c r="G42" s="19"/>
      <c r="J42" s="19"/>
      <c r="M42" s="19"/>
    </row>
    <row r="43" spans="1:15" x14ac:dyDescent="0.25">
      <c r="A43" s="94" t="s">
        <v>47</v>
      </c>
      <c r="B43" s="19">
        <f>'Detailed Support - ADSTV'!I58</f>
        <v>428349</v>
      </c>
      <c r="C43" s="19">
        <f>'Detailed Support - ADSTV'!M58</f>
        <v>436915.98</v>
      </c>
      <c r="D43" s="19">
        <f>'Detailed Support - ADSTV'!Q58</f>
        <v>445654.29959999997</v>
      </c>
      <c r="E43" s="118">
        <f>D43-C43</f>
        <v>8738.319599999988</v>
      </c>
      <c r="G43" s="19">
        <f>'Detailed Support - ADSTV'!U58</f>
        <v>454567.38559199998</v>
      </c>
      <c r="H43" s="118">
        <f>G43-D43</f>
        <v>8913.0859920000075</v>
      </c>
      <c r="I43" s="136"/>
      <c r="J43" s="19">
        <f>'Detailed Support - ADSTV'!Y58</f>
        <v>463658.73330383998</v>
      </c>
      <c r="K43" s="118">
        <f t="shared" ref="K43:K52" si="12">J43-G43</f>
        <v>9091.3477118400042</v>
      </c>
      <c r="L43" s="136"/>
      <c r="M43" s="19">
        <f>'Detailed Support - ADSTV'!AC58</f>
        <v>472931.90796991676</v>
      </c>
      <c r="N43" s="138">
        <f t="shared" ref="N43:N52" si="13">M43-J43</f>
        <v>9273.1746660767822</v>
      </c>
    </row>
    <row r="44" spans="1:15" x14ac:dyDescent="0.25">
      <c r="A44" s="94" t="s">
        <v>48</v>
      </c>
      <c r="B44" s="19">
        <f>'Detailed Support - ADSTV'!I59</f>
        <v>0</v>
      </c>
      <c r="C44" s="19">
        <f>'Detailed Support - ADSTV'!M59</f>
        <v>0</v>
      </c>
      <c r="D44" s="19">
        <f>'Detailed Support - ADSTV'!Q59</f>
        <v>0</v>
      </c>
      <c r="G44" s="19">
        <f>'Detailed Support - ADSTV'!U59</f>
        <v>0</v>
      </c>
      <c r="H44" s="136"/>
      <c r="I44" s="136"/>
      <c r="J44" s="19">
        <f>'Detailed Support - ADSTV'!Y59</f>
        <v>0</v>
      </c>
      <c r="K44" s="118">
        <f t="shared" si="12"/>
        <v>0</v>
      </c>
      <c r="L44" s="136"/>
      <c r="M44" s="19">
        <f>'Detailed Support - ADSTV'!AC59</f>
        <v>0</v>
      </c>
      <c r="N44" s="138">
        <f t="shared" si="13"/>
        <v>0</v>
      </c>
    </row>
    <row r="45" spans="1:15" x14ac:dyDescent="0.25">
      <c r="A45" s="94" t="s">
        <v>49</v>
      </c>
      <c r="B45" s="19">
        <f>'Detailed Support - ADSTV'!I60</f>
        <v>78000</v>
      </c>
      <c r="C45" s="19">
        <f>'Detailed Support - ADSTV'!M60</f>
        <v>38000</v>
      </c>
      <c r="D45" s="19">
        <f>'Detailed Support - ADSTV'!Q60</f>
        <v>38000</v>
      </c>
      <c r="E45" s="118">
        <f>D45-C45</f>
        <v>0</v>
      </c>
      <c r="F45" s="127" t="s">
        <v>162</v>
      </c>
      <c r="G45" s="19">
        <f>'Detailed Support - ADSTV'!U60</f>
        <v>38000</v>
      </c>
      <c r="H45" s="118">
        <f>G45-D45</f>
        <v>0</v>
      </c>
      <c r="I45" s="136"/>
      <c r="J45" s="19">
        <f>'Detailed Support - ADSTV'!Y60</f>
        <v>38000</v>
      </c>
      <c r="K45" s="118">
        <f t="shared" si="12"/>
        <v>0</v>
      </c>
      <c r="L45" s="136"/>
      <c r="M45" s="19">
        <f>'Detailed Support - ADSTV'!AC60</f>
        <v>38000</v>
      </c>
      <c r="N45" s="138">
        <f t="shared" si="13"/>
        <v>0</v>
      </c>
    </row>
    <row r="46" spans="1:15" x14ac:dyDescent="0.25">
      <c r="A46" s="94" t="s">
        <v>50</v>
      </c>
      <c r="B46" s="19">
        <f>'Detailed Support - ADSTV'!I61</f>
        <v>25000</v>
      </c>
      <c r="C46" s="19">
        <f>'Detailed Support - ADSTV'!M61</f>
        <v>25000</v>
      </c>
      <c r="D46" s="19">
        <f>'Detailed Support - ADSTV'!Q61</f>
        <v>25000</v>
      </c>
      <c r="E46" s="118">
        <f>D46-C46</f>
        <v>0</v>
      </c>
      <c r="F46" s="127" t="s">
        <v>163</v>
      </c>
      <c r="G46" s="19">
        <f>'Detailed Support - ADSTV'!U61</f>
        <v>25000</v>
      </c>
      <c r="H46" s="118">
        <f>G46-D46</f>
        <v>0</v>
      </c>
      <c r="I46" s="136"/>
      <c r="J46" s="19">
        <f>'Detailed Support - ADSTV'!Y61</f>
        <v>25000</v>
      </c>
      <c r="K46" s="118">
        <f t="shared" si="12"/>
        <v>0</v>
      </c>
      <c r="L46" s="136"/>
      <c r="M46" s="19">
        <f>'Detailed Support - ADSTV'!AC61</f>
        <v>25000</v>
      </c>
      <c r="N46" s="138">
        <f t="shared" si="13"/>
        <v>0</v>
      </c>
    </row>
    <row r="47" spans="1:15" x14ac:dyDescent="0.25">
      <c r="A47" s="94" t="s">
        <v>51</v>
      </c>
      <c r="B47" s="19">
        <f>'Detailed Support - ADSTV'!I62</f>
        <v>0</v>
      </c>
      <c r="C47" s="19">
        <f>'Detailed Support - ADSTV'!M62</f>
        <v>0</v>
      </c>
      <c r="D47" s="19">
        <f>'Detailed Support - ADSTV'!Q62</f>
        <v>0</v>
      </c>
      <c r="G47" s="19">
        <f>'Detailed Support - ADSTV'!U62</f>
        <v>0</v>
      </c>
      <c r="H47" s="136"/>
      <c r="I47" s="136"/>
      <c r="J47" s="19">
        <f>'Detailed Support - ADSTV'!Y62</f>
        <v>0</v>
      </c>
      <c r="K47" s="118">
        <f t="shared" si="12"/>
        <v>0</v>
      </c>
      <c r="L47" s="136"/>
      <c r="M47" s="19">
        <f>'Detailed Support - ADSTV'!AC62</f>
        <v>0</v>
      </c>
      <c r="N47" s="138">
        <f t="shared" si="13"/>
        <v>0</v>
      </c>
    </row>
    <row r="48" spans="1:15" x14ac:dyDescent="0.25">
      <c r="A48" s="182" t="s">
        <v>52</v>
      </c>
      <c r="B48" s="19">
        <f>'Detailed Support - ADSTV'!I63</f>
        <v>133700</v>
      </c>
      <c r="C48" s="19">
        <f>'Detailed Support - ADSTV'!M63</f>
        <v>26000</v>
      </c>
      <c r="D48" s="19">
        <f>'Detailed Support - ADSTV'!Q63</f>
        <v>26520</v>
      </c>
      <c r="E48" s="118">
        <f>D48-C48</f>
        <v>520</v>
      </c>
      <c r="G48" s="19">
        <f>'Detailed Support - ADSTV'!U63</f>
        <v>27050.400000000001</v>
      </c>
      <c r="H48" s="118">
        <f>G48-D48</f>
        <v>530.40000000000146</v>
      </c>
      <c r="I48" s="136"/>
      <c r="J48" s="19">
        <f>'Detailed Support - ADSTV'!Y63</f>
        <v>27591.408000000003</v>
      </c>
      <c r="K48" s="118">
        <f t="shared" si="12"/>
        <v>541.00800000000163</v>
      </c>
      <c r="L48" s="136"/>
      <c r="M48" s="19">
        <f>'Detailed Support - ADSTV'!AC63</f>
        <v>28143.236160000004</v>
      </c>
      <c r="N48" s="138">
        <f t="shared" si="13"/>
        <v>551.82816000000093</v>
      </c>
    </row>
    <row r="49" spans="1:15" x14ac:dyDescent="0.25">
      <c r="A49" s="94" t="s">
        <v>53</v>
      </c>
      <c r="B49" s="19">
        <f>'Detailed Support - ADSTV'!I64</f>
        <v>97364</v>
      </c>
      <c r="C49" s="19">
        <f>'Detailed Support - ADSTV'!M64</f>
        <v>91000</v>
      </c>
      <c r="D49" s="19">
        <f>'Detailed Support - ADSTV'!Q64</f>
        <v>91000</v>
      </c>
      <c r="E49" s="118">
        <f>D49-C49</f>
        <v>0</v>
      </c>
      <c r="F49" s="127" t="s">
        <v>164</v>
      </c>
      <c r="G49" s="19">
        <f>'Detailed Support - ADSTV'!U64</f>
        <v>91000</v>
      </c>
      <c r="H49" s="118">
        <f>G49-D49</f>
        <v>0</v>
      </c>
      <c r="I49" s="136"/>
      <c r="J49" s="19">
        <f>'Detailed Support - ADSTV'!Y64</f>
        <v>91000</v>
      </c>
      <c r="K49" s="118">
        <f t="shared" si="12"/>
        <v>0</v>
      </c>
      <c r="L49" s="136"/>
      <c r="M49" s="19">
        <f>'Detailed Support - ADSTV'!AC64</f>
        <v>91000</v>
      </c>
      <c r="N49" s="138">
        <f t="shared" si="13"/>
        <v>0</v>
      </c>
    </row>
    <row r="50" spans="1:15" x14ac:dyDescent="0.25">
      <c r="A50" s="105" t="s">
        <v>54</v>
      </c>
      <c r="B50" s="19">
        <f>'Detailed Support - ADSTV'!I65</f>
        <v>0</v>
      </c>
      <c r="C50" s="19">
        <f>'Detailed Support - ADSTV'!M65</f>
        <v>0</v>
      </c>
      <c r="D50" s="19">
        <f>'Detailed Support - ADSTV'!Q65</f>
        <v>0</v>
      </c>
      <c r="G50" s="19">
        <f>'Detailed Support - ADSTV'!U65</f>
        <v>0</v>
      </c>
      <c r="H50" s="136"/>
      <c r="I50" s="136"/>
      <c r="J50" s="19">
        <f>'Detailed Support - ADSTV'!Y65</f>
        <v>0</v>
      </c>
      <c r="K50" s="118">
        <f t="shared" si="12"/>
        <v>0</v>
      </c>
      <c r="L50" s="136"/>
      <c r="M50" s="19">
        <f>'Detailed Support - ADSTV'!AC65</f>
        <v>0</v>
      </c>
      <c r="N50" s="138">
        <f t="shared" si="13"/>
        <v>0</v>
      </c>
    </row>
    <row r="51" spans="1:15" x14ac:dyDescent="0.25">
      <c r="A51" s="105" t="s">
        <v>55</v>
      </c>
      <c r="B51" s="19">
        <f>'Detailed Support - ADSTV'!I66</f>
        <v>10600</v>
      </c>
      <c r="C51" s="19">
        <f>'Detailed Support - ADSTV'!M66</f>
        <v>11500.000000000002</v>
      </c>
      <c r="D51" s="19">
        <f>'Detailed Support - ADSTV'!Q66</f>
        <v>11730.000000000002</v>
      </c>
      <c r="E51" s="118">
        <f>D51-C51</f>
        <v>230</v>
      </c>
      <c r="G51" s="19">
        <f>'Detailed Support - ADSTV'!U66</f>
        <v>11964.600000000002</v>
      </c>
      <c r="H51" s="118">
        <f>G51-D51</f>
        <v>234.60000000000036</v>
      </c>
      <c r="I51" s="136"/>
      <c r="J51" s="19">
        <f>'Detailed Support - ADSTV'!Y66</f>
        <v>12203.892000000002</v>
      </c>
      <c r="K51" s="118">
        <f t="shared" si="12"/>
        <v>239.29199999999946</v>
      </c>
      <c r="L51" s="136"/>
      <c r="M51" s="19">
        <f>'Detailed Support - ADSTV'!AC66</f>
        <v>12447.969840000002</v>
      </c>
      <c r="N51" s="138">
        <f t="shared" si="13"/>
        <v>244.07783999999992</v>
      </c>
    </row>
    <row r="52" spans="1:15" x14ac:dyDescent="0.25">
      <c r="A52" s="94" t="s">
        <v>56</v>
      </c>
      <c r="B52" s="19">
        <f>'Detailed Support - ADSTV'!I67</f>
        <v>0</v>
      </c>
      <c r="C52" s="19">
        <f>'Detailed Support - ADSTV'!M67</f>
        <v>0</v>
      </c>
      <c r="D52" s="19">
        <f>'Detailed Support - ADSTV'!Q67</f>
        <v>0</v>
      </c>
      <c r="G52" s="19">
        <f>'Detailed Support - ADSTV'!U67</f>
        <v>0</v>
      </c>
      <c r="H52" s="136"/>
      <c r="I52" s="136"/>
      <c r="J52" s="19">
        <f>'Detailed Support - ADSTV'!Y67</f>
        <v>0</v>
      </c>
      <c r="K52" s="118">
        <f t="shared" si="12"/>
        <v>0</v>
      </c>
      <c r="L52" s="136"/>
      <c r="M52" s="19">
        <f>'Detailed Support - ADSTV'!AC67</f>
        <v>0</v>
      </c>
      <c r="N52" s="138">
        <f t="shared" si="13"/>
        <v>0</v>
      </c>
    </row>
    <row r="53" spans="1:15" s="74" customFormat="1" x14ac:dyDescent="0.25">
      <c r="A53" s="102" t="s">
        <v>57</v>
      </c>
      <c r="B53" s="22">
        <f>SUM(B43:B52)</f>
        <v>773013</v>
      </c>
      <c r="C53" s="22">
        <f>SUM(C43:C52)</f>
        <v>628415.98</v>
      </c>
      <c r="D53" s="22">
        <f>SUM(D43:D52)</f>
        <v>637904.29960000003</v>
      </c>
      <c r="E53" s="122">
        <f t="shared" ref="E53:O53" si="14">SUM(E43:E52)</f>
        <v>9488.319599999988</v>
      </c>
      <c r="F53" s="131">
        <f t="shared" si="14"/>
        <v>0</v>
      </c>
      <c r="G53" s="22">
        <f>SUM(G43:G52)</f>
        <v>647582.38559199998</v>
      </c>
      <c r="H53" s="122">
        <f t="shared" si="14"/>
        <v>9678.0859920000094</v>
      </c>
      <c r="I53" s="122">
        <f t="shared" si="14"/>
        <v>0</v>
      </c>
      <c r="J53" s="22">
        <f>SUM(J43:J52)</f>
        <v>657454.03330384009</v>
      </c>
      <c r="K53" s="122">
        <f t="shared" si="14"/>
        <v>9871.6477118400053</v>
      </c>
      <c r="L53" s="122">
        <f t="shared" si="14"/>
        <v>0</v>
      </c>
      <c r="M53" s="22">
        <f>SUM(M43:M52)</f>
        <v>667523.11396991671</v>
      </c>
      <c r="N53" s="122">
        <f t="shared" si="14"/>
        <v>10069.080666076783</v>
      </c>
      <c r="O53" s="122">
        <f t="shared" si="14"/>
        <v>0</v>
      </c>
    </row>
    <row r="54" spans="1:15" x14ac:dyDescent="0.25">
      <c r="A54" s="102"/>
      <c r="B54" s="19"/>
      <c r="C54" s="19"/>
      <c r="D54" s="19"/>
      <c r="G54" s="19"/>
      <c r="J54" s="19"/>
      <c r="M54" s="19"/>
    </row>
    <row r="55" spans="1:15" ht="25.2" customHeight="1" x14ac:dyDescent="0.25">
      <c r="A55" s="102" t="s">
        <v>58</v>
      </c>
      <c r="B55" s="19"/>
      <c r="C55" s="19"/>
      <c r="D55" s="19"/>
      <c r="G55" s="19"/>
      <c r="J55" s="19"/>
      <c r="M55" s="19"/>
    </row>
    <row r="56" spans="1:15" x14ac:dyDescent="0.25">
      <c r="A56" s="94" t="s">
        <v>59</v>
      </c>
      <c r="B56" s="19">
        <f>'Detailed Support - ADSTV'!I71</f>
        <v>0</v>
      </c>
      <c r="C56" s="19">
        <f>'Detailed Support - ADSTV'!M71</f>
        <v>0</v>
      </c>
      <c r="D56" s="19">
        <f>'Detailed Support - ADSTV'!Q71</f>
        <v>0</v>
      </c>
      <c r="G56" s="19">
        <f>'Detailed Support - ADSTV'!U71</f>
        <v>0</v>
      </c>
      <c r="J56" s="19">
        <f>'Detailed Support - ADSTV'!Y71</f>
        <v>0</v>
      </c>
      <c r="M56" s="19">
        <f>'Detailed Support - ADSTV'!AC71</f>
        <v>0</v>
      </c>
    </row>
    <row r="57" spans="1:15" x14ac:dyDescent="0.25">
      <c r="A57" s="94" t="s">
        <v>60</v>
      </c>
      <c r="B57" s="19">
        <f>'Detailed Support - ADSTV'!I72</f>
        <v>64380</v>
      </c>
      <c r="C57" s="19">
        <f>'Detailed Support - ADSTV'!M72</f>
        <v>18555</v>
      </c>
      <c r="D57" s="19">
        <f>'Detailed Support - ADSTV'!Q72</f>
        <v>18926</v>
      </c>
      <c r="E57" s="118">
        <f>D57-C57</f>
        <v>371</v>
      </c>
      <c r="G57" s="19">
        <f>'Detailed Support - ADSTV'!U72</f>
        <v>19304.52</v>
      </c>
      <c r="H57" s="118">
        <f>G57-D57</f>
        <v>378.52000000000044</v>
      </c>
      <c r="I57" s="137"/>
      <c r="J57" s="19">
        <f>'Detailed Support - ADSTV'!Y72</f>
        <v>19690.510402486401</v>
      </c>
      <c r="K57" s="118">
        <f>J57-G57</f>
        <v>385.99040248640085</v>
      </c>
      <c r="L57" s="137"/>
      <c r="M57" s="19">
        <f>'Detailed Support - ADSTV'!AC72</f>
        <v>20084.218613590245</v>
      </c>
      <c r="N57" s="138">
        <f>M57-J57</f>
        <v>393.7082111038435</v>
      </c>
    </row>
    <row r="58" spans="1:15" x14ac:dyDescent="0.25">
      <c r="A58" s="94" t="s">
        <v>61</v>
      </c>
      <c r="B58" s="19">
        <f>'Detailed Support - ADSTV'!I73</f>
        <v>0</v>
      </c>
      <c r="C58" s="19">
        <f>'Detailed Support - ADSTV'!M73</f>
        <v>0</v>
      </c>
      <c r="D58" s="19">
        <f>'Detailed Support - ADSTV'!Q73</f>
        <v>0</v>
      </c>
      <c r="G58" s="19">
        <f>'Detailed Support - ADSTV'!U73</f>
        <v>0</v>
      </c>
      <c r="J58" s="19">
        <f>'Detailed Support - ADSTV'!Y73</f>
        <v>0</v>
      </c>
      <c r="K58" s="118">
        <f>J58-G58</f>
        <v>0</v>
      </c>
      <c r="M58" s="19">
        <f>'Detailed Support - ADSTV'!AC73</f>
        <v>0</v>
      </c>
      <c r="N58" s="138">
        <f>M58-J58</f>
        <v>0</v>
      </c>
    </row>
    <row r="59" spans="1:15" x14ac:dyDescent="0.25">
      <c r="A59" s="94" t="s">
        <v>62</v>
      </c>
      <c r="B59" s="19">
        <f>'Detailed Support - ADSTV'!I74</f>
        <v>34000</v>
      </c>
      <c r="C59" s="19">
        <f>'Detailed Support - ADSTV'!M74</f>
        <v>34000</v>
      </c>
      <c r="D59" s="19">
        <f>'Detailed Support - ADSTV'!Q74</f>
        <v>34680</v>
      </c>
      <c r="E59" s="118">
        <f>D59-C59</f>
        <v>680</v>
      </c>
      <c r="F59" s="127" t="s">
        <v>165</v>
      </c>
      <c r="G59" s="19">
        <f>'Detailed Support - ADSTV'!U74</f>
        <v>35373.599999999999</v>
      </c>
      <c r="H59" s="118">
        <f>G59-D59</f>
        <v>693.59999999999854</v>
      </c>
      <c r="J59" s="19">
        <f>'Detailed Support - ADSTV'!Y74</f>
        <v>36081.072</v>
      </c>
      <c r="K59" s="118">
        <f>J59-G59</f>
        <v>707.47200000000157</v>
      </c>
      <c r="M59" s="19">
        <f>'Detailed Support - ADSTV'!AC74</f>
        <v>36802.693440000003</v>
      </c>
      <c r="N59" s="138">
        <f>M59-J59</f>
        <v>721.62144000000262</v>
      </c>
    </row>
    <row r="60" spans="1:15" x14ac:dyDescent="0.25">
      <c r="A60" s="94" t="s">
        <v>63</v>
      </c>
      <c r="B60" s="19">
        <f>'Detailed Support - ADSTV'!I75</f>
        <v>231580</v>
      </c>
      <c r="C60" s="19">
        <f>'Detailed Support - ADSTV'!M75</f>
        <v>240000</v>
      </c>
      <c r="D60" s="19">
        <f>'Detailed Support - ADSTV'!Q75</f>
        <v>242300</v>
      </c>
      <c r="E60" s="118">
        <f>D60-C60</f>
        <v>2300</v>
      </c>
      <c r="F60" s="127" t="s">
        <v>166</v>
      </c>
      <c r="G60" s="19">
        <f>'Detailed Support - ADSTV'!U75</f>
        <v>244646</v>
      </c>
      <c r="H60" s="118">
        <f>G60-D60</f>
        <v>2346</v>
      </c>
      <c r="J60" s="19">
        <f>'Detailed Support - ADSTV'!Y75</f>
        <v>247038.99999999997</v>
      </c>
      <c r="K60" s="118">
        <f>J60-G60</f>
        <v>2392.9999999999709</v>
      </c>
      <c r="M60" s="19">
        <f>'Detailed Support - ADSTV'!AC75</f>
        <v>249479.99999999997</v>
      </c>
      <c r="N60" s="138">
        <f>M60-J60</f>
        <v>2441</v>
      </c>
    </row>
    <row r="61" spans="1:15" s="23" customFormat="1" x14ac:dyDescent="0.25">
      <c r="A61" s="102" t="s">
        <v>64</v>
      </c>
      <c r="B61" s="22">
        <f>SUM(B56:B60)</f>
        <v>329960</v>
      </c>
      <c r="C61" s="22">
        <f>SUM(C56:C60)</f>
        <v>292555</v>
      </c>
      <c r="D61" s="22">
        <f>SUM(D56:D60)</f>
        <v>295906</v>
      </c>
      <c r="E61" s="123">
        <f t="shared" ref="E61:O61" si="15">SUM(E56:E60)</f>
        <v>3351</v>
      </c>
      <c r="F61" s="132">
        <f t="shared" si="15"/>
        <v>0</v>
      </c>
      <c r="G61" s="22">
        <f>SUM(G56:G60)</f>
        <v>299324.12</v>
      </c>
      <c r="H61" s="123">
        <f t="shared" si="15"/>
        <v>3418.119999999999</v>
      </c>
      <c r="I61" s="123">
        <f t="shared" si="15"/>
        <v>0</v>
      </c>
      <c r="J61" s="22">
        <f>SUM(J56:J60)</f>
        <v>302810.58240248635</v>
      </c>
      <c r="K61" s="123">
        <f t="shared" si="15"/>
        <v>3486.4624024863733</v>
      </c>
      <c r="L61" s="123">
        <f t="shared" si="15"/>
        <v>0</v>
      </c>
      <c r="M61" s="22">
        <f>SUM(M56:M60)</f>
        <v>306366.91205359023</v>
      </c>
      <c r="N61" s="123">
        <f t="shared" si="15"/>
        <v>3556.3296511038461</v>
      </c>
      <c r="O61" s="123">
        <f t="shared" si="15"/>
        <v>0</v>
      </c>
    </row>
    <row r="62" spans="1:15" x14ac:dyDescent="0.25">
      <c r="A62" s="102"/>
      <c r="B62" s="19"/>
      <c r="C62" s="19"/>
      <c r="D62" s="19"/>
      <c r="G62" s="19"/>
      <c r="J62" s="19"/>
      <c r="M62" s="19"/>
    </row>
    <row r="63" spans="1:15" x14ac:dyDescent="0.25">
      <c r="A63" s="48" t="s">
        <v>206</v>
      </c>
      <c r="B63" s="19"/>
      <c r="C63" s="19"/>
      <c r="D63" s="19"/>
      <c r="G63" s="19"/>
      <c r="J63" s="19"/>
      <c r="M63" s="19"/>
    </row>
    <row r="64" spans="1:15" x14ac:dyDescent="0.25">
      <c r="A64" s="48" t="s">
        <v>207</v>
      </c>
      <c r="B64" s="19"/>
      <c r="C64" s="19"/>
      <c r="D64" s="19"/>
      <c r="G64" s="19"/>
      <c r="J64" s="19"/>
      <c r="M64" s="19"/>
    </row>
    <row r="65" spans="1:15" x14ac:dyDescent="0.25">
      <c r="A65" s="105" t="s">
        <v>65</v>
      </c>
      <c r="B65" s="19">
        <f>'Detailed Support - ADSTV'!I78</f>
        <v>0</v>
      </c>
      <c r="C65" s="19">
        <f>'Detailed Support - ADSTV'!M78</f>
        <v>0</v>
      </c>
      <c r="D65" s="19">
        <f>'Detailed Support - ADSTV'!Q78</f>
        <v>0</v>
      </c>
      <c r="G65" s="19">
        <f>'Detailed Support - ADSTV'!U78</f>
        <v>0</v>
      </c>
      <c r="J65" s="19">
        <f>'Detailed Support - ADSTV'!Y78</f>
        <v>0</v>
      </c>
      <c r="M65" s="19">
        <f>'Detailed Support - ADSTV'!AC78</f>
        <v>0</v>
      </c>
    </row>
    <row r="66" spans="1:15" x14ac:dyDescent="0.25">
      <c r="A66" s="105" t="str">
        <f>+'Detailed Support - ADSTV'!A79</f>
        <v>Administrative Savings</v>
      </c>
      <c r="B66" s="19">
        <f>'Detailed Support - ADSTV'!I79</f>
        <v>0</v>
      </c>
      <c r="C66" s="19">
        <f>'Detailed Support - ADSTV'!M79</f>
        <v>-5805</v>
      </c>
      <c r="D66" s="19">
        <f>'Detailed Support - ADSTV'!Q79</f>
        <v>-5805</v>
      </c>
      <c r="G66" s="19">
        <f>'Detailed Support - ADSTV'!U79</f>
        <v>-5805</v>
      </c>
      <c r="J66" s="19">
        <f>'Detailed Support - ADSTV'!Y79</f>
        <v>0</v>
      </c>
      <c r="M66" s="19">
        <f>'Detailed Support - ADSTV'!AC79</f>
        <v>0</v>
      </c>
    </row>
    <row r="67" spans="1:15" s="74" customFormat="1" ht="14.4" thickBot="1" x14ac:dyDescent="0.3">
      <c r="A67" s="102" t="s">
        <v>67</v>
      </c>
      <c r="B67" s="20">
        <f>+B61+B53+B40+B35</f>
        <v>5751088</v>
      </c>
      <c r="C67" s="20">
        <f>+C61+C53+C40+C35+C66</f>
        <v>5384029.9800000004</v>
      </c>
      <c r="D67" s="20">
        <f>+D61+D53+D40+D35+D66</f>
        <v>5548248.2995999996</v>
      </c>
      <c r="E67" s="120">
        <f t="shared" ref="E67:O67" si="16">+E61+E53+E40+E35</f>
        <v>164218.3196000004</v>
      </c>
      <c r="F67" s="129">
        <f t="shared" si="16"/>
        <v>0</v>
      </c>
      <c r="G67" s="20">
        <f>+G61+G53+G40+G35+G66</f>
        <v>5660715.1055920003</v>
      </c>
      <c r="H67" s="120">
        <f t="shared" si="16"/>
        <v>112466.80599199954</v>
      </c>
      <c r="I67" s="120">
        <f t="shared" si="16"/>
        <v>0</v>
      </c>
      <c r="J67" s="20">
        <f>+J61+J53+J40+J35</f>
        <v>5772254.3277063267</v>
      </c>
      <c r="K67" s="120">
        <f t="shared" si="16"/>
        <v>105734.22211432643</v>
      </c>
      <c r="L67" s="120">
        <f t="shared" si="16"/>
        <v>0</v>
      </c>
      <c r="M67" s="20">
        <f>+M61+M53+M40+M35</f>
        <v>5859166.2922635069</v>
      </c>
      <c r="N67" s="120">
        <f t="shared" si="16"/>
        <v>86911.964557180632</v>
      </c>
      <c r="O67" s="120">
        <f t="shared" si="16"/>
        <v>0</v>
      </c>
    </row>
    <row r="68" spans="1:15" ht="14.4" thickTop="1" x14ac:dyDescent="0.25">
      <c r="A68" s="102"/>
      <c r="B68" s="19"/>
      <c r="C68" s="19"/>
      <c r="D68" s="19"/>
      <c r="G68" s="19"/>
      <c r="J68" s="19"/>
      <c r="M68" s="19"/>
    </row>
    <row r="69" spans="1:15" ht="33" customHeight="1" x14ac:dyDescent="0.25">
      <c r="A69" s="106" t="s">
        <v>68</v>
      </c>
      <c r="B69" s="19"/>
      <c r="C69" s="19"/>
      <c r="D69" s="19"/>
      <c r="E69" s="118"/>
      <c r="G69" s="19"/>
      <c r="H69" s="118"/>
      <c r="J69" s="19"/>
      <c r="M69" s="19"/>
    </row>
    <row r="70" spans="1:15" ht="25.2" customHeight="1" x14ac:dyDescent="0.25">
      <c r="A70" s="107" t="s">
        <v>69</v>
      </c>
      <c r="D70" s="11"/>
      <c r="G70" s="11"/>
      <c r="J70" s="11"/>
      <c r="M70" s="11"/>
    </row>
    <row r="71" spans="1:15" x14ac:dyDescent="0.25">
      <c r="A71" s="108" t="s">
        <v>70</v>
      </c>
      <c r="D71" s="11"/>
      <c r="G71" s="11"/>
      <c r="J71" s="11"/>
      <c r="M71" s="11"/>
    </row>
    <row r="72" spans="1:15" x14ac:dyDescent="0.25">
      <c r="A72" s="108" t="s">
        <v>71</v>
      </c>
      <c r="D72" s="11"/>
      <c r="G72" s="11"/>
      <c r="J72" s="11"/>
      <c r="M72" s="11"/>
    </row>
    <row r="73" spans="1:15" x14ac:dyDescent="0.25">
      <c r="A73" s="108" t="s">
        <v>72</v>
      </c>
      <c r="D73" s="11"/>
      <c r="G73" s="11"/>
      <c r="J73" s="11"/>
      <c r="M73" s="11"/>
    </row>
    <row r="74" spans="1:15" x14ac:dyDescent="0.25">
      <c r="A74" s="108" t="s">
        <v>73</v>
      </c>
      <c r="D74" s="11"/>
      <c r="G74" s="11"/>
      <c r="J74" s="11"/>
      <c r="M74" s="11"/>
    </row>
    <row r="75" spans="1:15" x14ac:dyDescent="0.25">
      <c r="A75" s="108" t="s">
        <v>73</v>
      </c>
      <c r="D75" s="11"/>
      <c r="G75" s="11"/>
      <c r="J75" s="11"/>
      <c r="M75" s="11"/>
    </row>
    <row r="76" spans="1:15" x14ac:dyDescent="0.25">
      <c r="A76" s="108" t="s">
        <v>73</v>
      </c>
      <c r="D76" s="11"/>
      <c r="G76" s="11"/>
      <c r="J76" s="11"/>
      <c r="M76" s="11"/>
    </row>
    <row r="77" spans="1:15" s="23" customFormat="1" ht="27.6" x14ac:dyDescent="0.25">
      <c r="A77" s="106" t="s">
        <v>74</v>
      </c>
      <c r="B77" s="29">
        <f>B25-B67</f>
        <v>841</v>
      </c>
      <c r="C77" s="29">
        <f>C25-C67</f>
        <v>228475.01999999955</v>
      </c>
      <c r="D77" s="29">
        <f>D25-D67</f>
        <v>64256.700400000438</v>
      </c>
      <c r="E77" s="124"/>
      <c r="F77" s="133"/>
      <c r="G77" s="29">
        <f>G25-G67</f>
        <v>-48210.105592000298</v>
      </c>
      <c r="H77" s="124"/>
      <c r="I77" s="124"/>
      <c r="J77" s="29">
        <f>J25-J67</f>
        <v>-106810.63770632632</v>
      </c>
      <c r="K77" s="124"/>
      <c r="L77" s="124"/>
      <c r="M77" s="29">
        <f>M25-M67</f>
        <v>-135658.52536350582</v>
      </c>
      <c r="N77" s="124"/>
      <c r="O77" s="124"/>
    </row>
    <row r="78" spans="1:15" x14ac:dyDescent="0.25">
      <c r="A78" s="108" t="s">
        <v>75</v>
      </c>
      <c r="D78" s="11"/>
      <c r="G78" s="11"/>
      <c r="J78" s="11"/>
      <c r="M78" s="11"/>
    </row>
    <row r="79" spans="1:15" s="16" customFormat="1" ht="45.75" customHeight="1" thickBot="1" x14ac:dyDescent="0.3">
      <c r="A79" s="109" t="s">
        <v>76</v>
      </c>
      <c r="B79" s="20">
        <f>B77+B78</f>
        <v>841</v>
      </c>
      <c r="C79" s="20">
        <f>C77+C78</f>
        <v>228475.01999999955</v>
      </c>
      <c r="D79" s="20">
        <f>D77+D78</f>
        <v>64256.700400000438</v>
      </c>
      <c r="E79" s="125"/>
      <c r="F79" s="134"/>
      <c r="G79" s="20">
        <f>G77+G78</f>
        <v>-48210.105592000298</v>
      </c>
      <c r="H79" s="125"/>
      <c r="I79" s="125"/>
      <c r="J79" s="20">
        <f>J77+J78</f>
        <v>-106810.63770632632</v>
      </c>
      <c r="K79" s="125"/>
      <c r="L79" s="125"/>
      <c r="M79" s="20">
        <f>M77+M78</f>
        <v>-135658.52536350582</v>
      </c>
      <c r="N79" s="125"/>
      <c r="O79" s="125"/>
    </row>
    <row r="80" spans="1:15" ht="14.4" thickTop="1" x14ac:dyDescent="0.25">
      <c r="B80" s="11">
        <f>'Detailed Support - ADSTV'!I83-B79</f>
        <v>0</v>
      </c>
      <c r="C80" s="11">
        <f>'Detailed Support - ADSTV'!M83-C79</f>
        <v>0</v>
      </c>
      <c r="D80" s="11">
        <f>'Detailed Support - ADSTV'!Q83-D79</f>
        <v>0</v>
      </c>
      <c r="G80" s="11">
        <f>'Detailed Support - ADSTV'!U83-G79</f>
        <v>0</v>
      </c>
      <c r="J80" s="11">
        <f>'Detailed Support - ADSTV'!Y83-J79</f>
        <v>0</v>
      </c>
      <c r="M80" s="11">
        <f>'Detailed Support - ADSTV'!AC83-M79</f>
        <v>0</v>
      </c>
    </row>
    <row r="81" spans="1:4" x14ac:dyDescent="0.25">
      <c r="A81" s="110" t="s">
        <v>77</v>
      </c>
      <c r="D81" s="11"/>
    </row>
    <row r="82" spans="1:4" x14ac:dyDescent="0.25">
      <c r="A82" s="108" t="s">
        <v>78</v>
      </c>
      <c r="D82" s="11"/>
    </row>
    <row r="83" spans="1:4" x14ac:dyDescent="0.25">
      <c r="A83" s="108" t="s">
        <v>79</v>
      </c>
      <c r="D83" s="11"/>
    </row>
    <row r="84" spans="1:4" x14ac:dyDescent="0.25">
      <c r="A84" s="108" t="s">
        <v>80</v>
      </c>
      <c r="D84" s="25"/>
    </row>
    <row r="85" spans="1:4" x14ac:dyDescent="0.25">
      <c r="C85" s="25"/>
      <c r="D85" s="11"/>
    </row>
    <row r="86" spans="1:4" x14ac:dyDescent="0.25">
      <c r="B86" s="117"/>
      <c r="C86" s="117"/>
      <c r="D86" s="117"/>
    </row>
    <row r="87" spans="1:4" x14ac:dyDescent="0.25">
      <c r="A87" s="110" t="s">
        <v>81</v>
      </c>
      <c r="B87" s="117"/>
      <c r="C87" s="117"/>
      <c r="D87" s="117"/>
    </row>
    <row r="88" spans="1:4" x14ac:dyDescent="0.25">
      <c r="B88" s="117"/>
      <c r="C88" s="117"/>
      <c r="D88" s="117"/>
    </row>
    <row r="89" spans="1:4" x14ac:dyDescent="0.25">
      <c r="A89" s="108" t="s">
        <v>82</v>
      </c>
      <c r="B89" s="117"/>
      <c r="C89" s="117"/>
      <c r="D89" s="117"/>
    </row>
    <row r="90" spans="1:4" x14ac:dyDescent="0.25">
      <c r="A90" s="108" t="s">
        <v>83</v>
      </c>
      <c r="B90" s="117"/>
      <c r="C90" s="117"/>
      <c r="D90" s="117"/>
    </row>
    <row r="91" spans="1:4" x14ac:dyDescent="0.25">
      <c r="A91" s="108" t="s">
        <v>43</v>
      </c>
      <c r="B91" s="117"/>
      <c r="C91" s="117"/>
      <c r="D91" s="117"/>
    </row>
    <row r="92" spans="1:4" x14ac:dyDescent="0.25">
      <c r="B92" s="117"/>
      <c r="C92" s="117"/>
      <c r="D92" s="117"/>
    </row>
    <row r="93" spans="1:4" x14ac:dyDescent="0.25">
      <c r="A93" s="108" t="s">
        <v>84</v>
      </c>
      <c r="B93" s="117"/>
      <c r="C93" s="117"/>
      <c r="D93" s="117"/>
    </row>
    <row r="94" spans="1:4" x14ac:dyDescent="0.25">
      <c r="A94" s="108" t="s">
        <v>85</v>
      </c>
      <c r="B94" s="117"/>
      <c r="C94" s="117"/>
      <c r="D94" s="117"/>
    </row>
    <row r="95" spans="1:4" x14ac:dyDescent="0.25">
      <c r="A95" s="102" t="s">
        <v>47</v>
      </c>
      <c r="B95" s="117"/>
      <c r="C95" s="117"/>
      <c r="D95" s="117"/>
    </row>
    <row r="96" spans="1:4" x14ac:dyDescent="0.25">
      <c r="C96" s="25"/>
      <c r="D96" s="11"/>
    </row>
    <row r="97" spans="1:4" x14ac:dyDescent="0.25">
      <c r="A97" s="108" t="s">
        <v>86</v>
      </c>
      <c r="D97" s="11"/>
    </row>
    <row r="98" spans="1:4" x14ac:dyDescent="0.25">
      <c r="A98" s="108" t="s">
        <v>87</v>
      </c>
      <c r="D98" s="11"/>
    </row>
    <row r="99" spans="1:4" x14ac:dyDescent="0.25">
      <c r="A99" s="108" t="s">
        <v>88</v>
      </c>
      <c r="D99" s="25"/>
    </row>
    <row r="100" spans="1:4" x14ac:dyDescent="0.25">
      <c r="A100" s="108" t="s">
        <v>89</v>
      </c>
      <c r="D100" s="11"/>
    </row>
    <row r="101" spans="1:4" x14ac:dyDescent="0.25">
      <c r="A101" s="108" t="s">
        <v>90</v>
      </c>
      <c r="C101" s="25"/>
      <c r="D101" s="11"/>
    </row>
    <row r="102" spans="1:4" x14ac:dyDescent="0.25">
      <c r="D102" s="11"/>
    </row>
    <row r="103" spans="1:4" x14ac:dyDescent="0.25">
      <c r="A103" s="108" t="s">
        <v>56</v>
      </c>
      <c r="D103" s="11"/>
    </row>
    <row r="104" spans="1:4" x14ac:dyDescent="0.25">
      <c r="D104" s="11"/>
    </row>
    <row r="105" spans="1:4" x14ac:dyDescent="0.25">
      <c r="A105" s="108" t="s">
        <v>91</v>
      </c>
      <c r="C105" s="25"/>
      <c r="D105" s="25"/>
    </row>
    <row r="106" spans="1:4" x14ac:dyDescent="0.25">
      <c r="A106" s="108" t="s">
        <v>92</v>
      </c>
      <c r="D106" s="11"/>
    </row>
    <row r="107" spans="1:4" x14ac:dyDescent="0.25">
      <c r="D107" s="11"/>
    </row>
    <row r="108" spans="1:4" x14ac:dyDescent="0.25">
      <c r="A108" s="108" t="s">
        <v>62</v>
      </c>
      <c r="D108" s="11"/>
    </row>
    <row r="109" spans="1:4" x14ac:dyDescent="0.25">
      <c r="D109" s="11"/>
    </row>
    <row r="110" spans="1:4" x14ac:dyDescent="0.25">
      <c r="A110" s="108" t="s">
        <v>93</v>
      </c>
      <c r="D110" s="11"/>
    </row>
    <row r="111" spans="1:4" x14ac:dyDescent="0.25">
      <c r="A111" s="108" t="s">
        <v>94</v>
      </c>
      <c r="D111" s="25"/>
    </row>
    <row r="113" spans="1:4" x14ac:dyDescent="0.25">
      <c r="A113" s="108" t="s">
        <v>52</v>
      </c>
      <c r="C113" s="25"/>
    </row>
    <row r="115" spans="1:4" x14ac:dyDescent="0.25">
      <c r="A115" s="111" t="s">
        <v>77</v>
      </c>
    </row>
    <row r="116" spans="1:4" x14ac:dyDescent="0.25">
      <c r="A116" s="112" t="s">
        <v>95</v>
      </c>
      <c r="C116" s="8"/>
      <c r="D116" s="11"/>
    </row>
    <row r="117" spans="1:4" x14ac:dyDescent="0.25">
      <c r="A117" s="112" t="s">
        <v>96</v>
      </c>
      <c r="C117" s="8"/>
      <c r="D117" s="11"/>
    </row>
    <row r="118" spans="1:4" x14ac:dyDescent="0.25">
      <c r="A118" s="113" t="s">
        <v>27</v>
      </c>
      <c r="C118" s="8"/>
      <c r="D118" s="25"/>
    </row>
    <row r="119" spans="1:4" x14ac:dyDescent="0.25">
      <c r="A119" s="112"/>
      <c r="C119" s="8"/>
      <c r="D119" s="11"/>
    </row>
    <row r="120" spans="1:4" x14ac:dyDescent="0.25">
      <c r="A120" s="111" t="s">
        <v>97</v>
      </c>
      <c r="C120" s="8"/>
      <c r="D120" s="11"/>
    </row>
    <row r="121" spans="1:4" x14ac:dyDescent="0.25">
      <c r="A121" s="112" t="s">
        <v>98</v>
      </c>
      <c r="C121" s="8"/>
      <c r="D121" s="11"/>
    </row>
    <row r="122" spans="1:4" x14ac:dyDescent="0.25">
      <c r="A122" s="112" t="s">
        <v>88</v>
      </c>
      <c r="C122" s="8"/>
      <c r="D122" s="11"/>
    </row>
    <row r="123" spans="1:4" x14ac:dyDescent="0.25">
      <c r="A123" s="112" t="s">
        <v>86</v>
      </c>
      <c r="C123" s="8"/>
      <c r="D123" s="11"/>
    </row>
    <row r="124" spans="1:4" x14ac:dyDescent="0.25">
      <c r="A124" s="112" t="s">
        <v>99</v>
      </c>
      <c r="D124" s="11"/>
    </row>
    <row r="125" spans="1:4" x14ac:dyDescent="0.25">
      <c r="A125" s="112" t="s">
        <v>100</v>
      </c>
      <c r="D125" s="11"/>
    </row>
    <row r="126" spans="1:4" x14ac:dyDescent="0.25">
      <c r="A126" s="112" t="s">
        <v>101</v>
      </c>
      <c r="D126" s="11"/>
    </row>
    <row r="127" spans="1:4" x14ac:dyDescent="0.25">
      <c r="A127" s="112"/>
      <c r="D127" s="11"/>
    </row>
    <row r="128" spans="1:4" x14ac:dyDescent="0.25">
      <c r="A128" s="109" t="s">
        <v>102</v>
      </c>
      <c r="D128" s="25"/>
    </row>
    <row r="129" spans="1:4" x14ac:dyDescent="0.25">
      <c r="A129" s="112"/>
      <c r="D129" s="11"/>
    </row>
    <row r="130" spans="1:4" x14ac:dyDescent="0.25">
      <c r="A130" s="112" t="s">
        <v>103</v>
      </c>
      <c r="D130" s="11"/>
    </row>
    <row r="131" spans="1:4" x14ac:dyDescent="0.25">
      <c r="A131" s="112" t="s">
        <v>85</v>
      </c>
      <c r="D131" s="11"/>
    </row>
    <row r="132" spans="1:4" x14ac:dyDescent="0.25">
      <c r="A132" s="112"/>
      <c r="D132" s="11"/>
    </row>
    <row r="133" spans="1:4" x14ac:dyDescent="0.25">
      <c r="A133" s="106" t="s">
        <v>47</v>
      </c>
      <c r="D133" s="25"/>
    </row>
    <row r="134" spans="1:4" x14ac:dyDescent="0.25">
      <c r="A134" s="112"/>
      <c r="D134" s="11"/>
    </row>
    <row r="135" spans="1:4" x14ac:dyDescent="0.25">
      <c r="A135" s="112" t="s">
        <v>104</v>
      </c>
      <c r="D135" s="11"/>
    </row>
    <row r="136" spans="1:4" x14ac:dyDescent="0.25">
      <c r="A136" s="112" t="s">
        <v>105</v>
      </c>
      <c r="D136" s="11"/>
    </row>
    <row r="137" spans="1:4" x14ac:dyDescent="0.25">
      <c r="A137" s="112" t="s">
        <v>106</v>
      </c>
      <c r="D137" s="11"/>
    </row>
    <row r="138" spans="1:4" x14ac:dyDescent="0.25">
      <c r="A138" s="112"/>
      <c r="D138" s="11"/>
    </row>
    <row r="139" spans="1:4" x14ac:dyDescent="0.25">
      <c r="A139" s="106" t="s">
        <v>49</v>
      </c>
      <c r="D139" s="25"/>
    </row>
    <row r="140" spans="1:4" x14ac:dyDescent="0.25">
      <c r="A140" s="112"/>
      <c r="D140" s="11"/>
    </row>
    <row r="141" spans="1:4" x14ac:dyDescent="0.25">
      <c r="A141" s="112" t="s">
        <v>107</v>
      </c>
      <c r="D141" s="11"/>
    </row>
    <row r="142" spans="1:4" x14ac:dyDescent="0.25">
      <c r="A142" s="112" t="s">
        <v>108</v>
      </c>
      <c r="D142" s="11"/>
    </row>
    <row r="143" spans="1:4" x14ac:dyDescent="0.25">
      <c r="A143" s="112" t="s">
        <v>94</v>
      </c>
      <c r="D143" s="11"/>
    </row>
    <row r="144" spans="1:4" x14ac:dyDescent="0.25">
      <c r="A144" s="112"/>
      <c r="D144" s="11"/>
    </row>
    <row r="145" spans="1:4" x14ac:dyDescent="0.25">
      <c r="A145" s="106" t="s">
        <v>52</v>
      </c>
      <c r="D145" s="25"/>
    </row>
  </sheetData>
  <pageMargins left="0.7" right="0.7" top="0.93452380952380953" bottom="0.75" header="0.3" footer="0.3"/>
  <pageSetup scale="62" orientation="portrait" horizontalDpi="4294967295" verticalDpi="4294967295" r:id="rId1"/>
  <headerFooter>
    <oddFooter>&amp;CCentre for Organizational Effectiveness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4A1A1495DED147BA0A562D7C8B0200" ma:contentTypeVersion="13" ma:contentTypeDescription="Create a new document." ma:contentTypeScope="" ma:versionID="f45b098d88e13825b3a05c49c4c2cf2b">
  <xsd:schema xmlns:xsd="http://www.w3.org/2001/XMLSchema" xmlns:xs="http://www.w3.org/2001/XMLSchema" xmlns:p="http://schemas.microsoft.com/office/2006/metadata/properties" xmlns:ns2="b8d375cc-77e0-442f-94aa-97fceb03af4f" xmlns:ns3="19a617dd-2d0e-412d-ad13-0d0640b68fd1" targetNamespace="http://schemas.microsoft.com/office/2006/metadata/properties" ma:root="true" ma:fieldsID="c1ffbe468c77e831de5a320151eead43" ns2:_="" ns3:_="">
    <xsd:import namespace="b8d375cc-77e0-442f-94aa-97fceb03af4f"/>
    <xsd:import namespace="19a617dd-2d0e-412d-ad13-0d0640b68f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375cc-77e0-442f-94aa-97fceb03af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a617dd-2d0e-412d-ad13-0d0640b68fd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FCEE80-07A4-44D5-B85C-6170F4F7A4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BF851B-1BB5-4D11-BF4B-9C0FB5968D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d375cc-77e0-442f-94aa-97fceb03af4f"/>
    <ds:schemaRef ds:uri="19a617dd-2d0e-412d-ad13-0d0640b68f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F64F10-89C4-4FDD-9247-A275C16F5744}">
  <ds:schemaRefs>
    <ds:schemaRef ds:uri="b8d375cc-77e0-442f-94aa-97fceb03af4f"/>
    <ds:schemaRef ds:uri="http://www.w3.org/XML/1998/namespace"/>
    <ds:schemaRef ds:uri="http://purl.org/dc/terms/"/>
    <ds:schemaRef ds:uri="19a617dd-2d0e-412d-ad13-0d0640b68fd1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9</vt:i4>
      </vt:variant>
    </vt:vector>
  </HeadingPairs>
  <TitlesOfParts>
    <vt:vector size="30" baseType="lpstr">
      <vt:lpstr>Base Financials - Oxford</vt:lpstr>
      <vt:lpstr>20 21 Revenue - Middlesex</vt:lpstr>
      <vt:lpstr>20 21 Revenue - Middlesex (2)</vt:lpstr>
      <vt:lpstr>CMHA-M 20-21 Bud</vt:lpstr>
      <vt:lpstr>CHO analysis</vt:lpstr>
      <vt:lpstr>Detailed Support - Middlesex</vt:lpstr>
      <vt:lpstr>Base Financials - Middlesex</vt:lpstr>
      <vt:lpstr>Detailed Support - ADSTV</vt:lpstr>
      <vt:lpstr>Base Financials - ADSTV (2)</vt:lpstr>
      <vt:lpstr>Base Financials - ADSTV</vt:lpstr>
      <vt:lpstr>Detailed Support - Consol</vt:lpstr>
      <vt:lpstr>Base Financials - Consol</vt:lpstr>
      <vt:lpstr>Base Financials - Total</vt:lpstr>
      <vt:lpstr>Assumptions</vt:lpstr>
      <vt:lpstr>Project Budget</vt:lpstr>
      <vt:lpstr>Example </vt:lpstr>
      <vt:lpstr>Detailed Financials Option 2</vt:lpstr>
      <vt:lpstr>Presentation format</vt:lpstr>
      <vt:lpstr>Admin costs Summary</vt:lpstr>
      <vt:lpstr>Presentation format Analysis</vt:lpstr>
      <vt:lpstr>Review Notes</vt:lpstr>
      <vt:lpstr>'Admin costs Summary'!Print_Area</vt:lpstr>
      <vt:lpstr>'Base Financials - Oxford'!Print_Area</vt:lpstr>
      <vt:lpstr>'Detailed Support - ADSTV'!Print_Area</vt:lpstr>
      <vt:lpstr>'Detailed Support - Consol'!Print_Area</vt:lpstr>
      <vt:lpstr>'Detailed Support - Middlesex'!Print_Area</vt:lpstr>
      <vt:lpstr>'Review Notes'!Print_Area</vt:lpstr>
      <vt:lpstr>'Detailed Support - ADSTV'!Print_Titles</vt:lpstr>
      <vt:lpstr>'Detailed Support - Consol'!Print_Titles</vt:lpstr>
      <vt:lpstr>'Detailed Support - Middlesex'!Print_Titles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innanen</dc:creator>
  <cp:lastModifiedBy>Maria Sanchez-Keane</cp:lastModifiedBy>
  <cp:lastPrinted>2020-10-08T18:52:21Z</cp:lastPrinted>
  <dcterms:created xsi:type="dcterms:W3CDTF">2020-02-13T17:12:14Z</dcterms:created>
  <dcterms:modified xsi:type="dcterms:W3CDTF">2022-01-31T13:28:13Z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0x010100084A1A1495DED147BA0A562D7C8B0200</vt:lpwstr>
  </property>
</Properties>
</file>